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Z:\desktop\"/>
    </mc:Choice>
  </mc:AlternateContent>
  <bookViews>
    <workbookView xWindow="0" yWindow="0" windowWidth="19200" windowHeight="8235" tabRatio="611" activeTab="11"/>
  </bookViews>
  <sheets>
    <sheet name="Jan" sheetId="6" r:id="rId1"/>
    <sheet name="Feb" sheetId="9" r:id="rId2"/>
    <sheet name="Mar" sheetId="10" r:id="rId3"/>
    <sheet name="Apr" sheetId="11" r:id="rId4"/>
    <sheet name="May" sheetId="12" r:id="rId5"/>
    <sheet name="Jun" sheetId="13" r:id="rId6"/>
    <sheet name="Jul" sheetId="14" r:id="rId7"/>
    <sheet name="Aug" sheetId="15" r:id="rId8"/>
    <sheet name="Sep" sheetId="16" r:id="rId9"/>
    <sheet name="Oct" sheetId="17" r:id="rId10"/>
    <sheet name="Nov" sheetId="18" r:id="rId11"/>
    <sheet name="Dec" sheetId="19" r:id="rId12"/>
  </sheets>
  <definedNames>
    <definedName name="AprSun1">DATE(CalendarYear,4,1)-WEEKDAY(DATE(CalendarYear,4,1))+1</definedName>
    <definedName name="AugSun1">DATE(CalendarYear,8,1)-WEEKDAY(DATE(CalendarYear,8,1))+1</definedName>
    <definedName name="CalendarYear">Jan!$K$2</definedName>
    <definedName name="DecSun1">DATE(CalendarYear,12,1)-WEEKDAY(DATE(CalendarYear,12,1))+1</definedName>
    <definedName name="FebSun1">DATE(CalendarYear,2,1)-WEEKDAY(DATE(CalendarYear,2,1))+1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MarSun1">DATE(CalendarYear,3,1)-WEEKDAY(DATE(CalendarYear,3,1))+1</definedName>
    <definedName name="MaySun1">DATE(CalendarYear,5,1)-WEEKDAY(DATE(CalendarYear,5,1))+1</definedName>
    <definedName name="NovSun1">DATE(CalendarYear,11,1)-WEEKDAY(DATE(CalendarYear,11,1))+1</definedName>
    <definedName name="OctSun1">DATE(CalendarYear,10,1)-WEEKDAY(DATE(CalendarYear,10,1))+1</definedName>
    <definedName name="_xlnm.Print_Area" localSheetId="3">Apr!$B$2:$J$16</definedName>
    <definedName name="_xlnm.Print_Area" localSheetId="7">Aug!$B$2:$J$16</definedName>
    <definedName name="_xlnm.Print_Area" localSheetId="11">Dec!$B$2:$J$16</definedName>
    <definedName name="_xlnm.Print_Area" localSheetId="1">Feb!$B$2:$J$16</definedName>
    <definedName name="_xlnm.Print_Area" localSheetId="0">Jan!$B$2:$J$16</definedName>
    <definedName name="_xlnm.Print_Area" localSheetId="6">Jul!$B$2:$J$16</definedName>
    <definedName name="_xlnm.Print_Area" localSheetId="5">Jun!$B$2:$J$16</definedName>
    <definedName name="_xlnm.Print_Area" localSheetId="2">Mar!$B$2:$J$16</definedName>
    <definedName name="_xlnm.Print_Area" localSheetId="4">May!$B$2:$J$16</definedName>
    <definedName name="_xlnm.Print_Area" localSheetId="10">Nov!$B$2:$J$16</definedName>
    <definedName name="_xlnm.Print_Area" localSheetId="9">Oct!$B$2:$J$16</definedName>
    <definedName name="_xlnm.Print_Area" localSheetId="8">Sep!$B$2:$J$16</definedName>
    <definedName name="SepSun1">DATE(CalendarYear,9,1)-WEEKDAY(DATE(CalendarYear,9,1))+1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3" i="11" l="1"/>
  <c r="C11" i="10" l="1"/>
  <c r="D11" i="10"/>
  <c r="E11" i="10"/>
  <c r="F11" i="10"/>
  <c r="G11" i="10"/>
  <c r="H11" i="10"/>
  <c r="C7" i="9"/>
  <c r="D7" i="9"/>
  <c r="E7" i="9"/>
  <c r="F7" i="9"/>
  <c r="G7" i="9"/>
  <c r="H7" i="9"/>
  <c r="C9" i="9"/>
  <c r="D9" i="9"/>
  <c r="E9" i="9"/>
  <c r="F9" i="9"/>
  <c r="G9" i="9"/>
  <c r="H9" i="9"/>
  <c r="C11" i="9"/>
  <c r="D11" i="9"/>
  <c r="E11" i="9"/>
  <c r="F11" i="9"/>
  <c r="G11" i="9"/>
  <c r="H11" i="9"/>
  <c r="C13" i="9"/>
  <c r="D13" i="9"/>
  <c r="E13" i="9"/>
  <c r="F13" i="9"/>
  <c r="G13" i="9"/>
  <c r="H13" i="9"/>
  <c r="C15" i="9"/>
  <c r="H7" i="10"/>
  <c r="B5" i="6"/>
  <c r="D5" i="6"/>
  <c r="B3" i="12" l="1"/>
  <c r="B3" i="13"/>
  <c r="B3" i="14"/>
  <c r="B3" i="15"/>
  <c r="B3" i="16"/>
  <c r="B3" i="17"/>
  <c r="B3" i="18"/>
  <c r="B3" i="19"/>
  <c r="C15" i="11"/>
  <c r="B15" i="11"/>
  <c r="H13" i="11"/>
  <c r="F13" i="11"/>
  <c r="E13" i="11"/>
  <c r="D13" i="11"/>
  <c r="C13" i="11"/>
  <c r="B13" i="11"/>
  <c r="H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D11" i="12"/>
  <c r="C11" i="12"/>
  <c r="B11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B3" i="11"/>
  <c r="C15" i="10"/>
  <c r="B15" i="10"/>
  <c r="G13" i="10"/>
  <c r="F13" i="10"/>
  <c r="E13" i="10"/>
  <c r="D13" i="10"/>
  <c r="C13" i="10"/>
  <c r="B13" i="10"/>
  <c r="B11" i="10"/>
  <c r="H9" i="10"/>
  <c r="G9" i="10"/>
  <c r="F9" i="10"/>
  <c r="E9" i="10"/>
  <c r="D9" i="10"/>
  <c r="C9" i="10"/>
  <c r="B9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B3" i="10"/>
  <c r="B15" i="9"/>
  <c r="B13" i="9"/>
  <c r="B11" i="9"/>
  <c r="B9" i="9"/>
  <c r="B7" i="9"/>
  <c r="H5" i="9"/>
  <c r="G5" i="9"/>
  <c r="F5" i="9"/>
  <c r="E5" i="9"/>
  <c r="D5" i="9"/>
  <c r="C5" i="9"/>
  <c r="B5" i="9"/>
  <c r="B3" i="9"/>
  <c r="B3" i="6" l="1"/>
  <c r="C15" i="6" l="1"/>
  <c r="C5" i="6" l="1"/>
  <c r="E5" i="6"/>
  <c r="F5" i="6"/>
  <c r="G5" i="6"/>
  <c r="H5" i="6"/>
  <c r="B7" i="6"/>
  <c r="C7" i="6"/>
  <c r="D7" i="6"/>
  <c r="E7" i="6"/>
  <c r="F7" i="6"/>
  <c r="G7" i="6"/>
  <c r="H7" i="6"/>
  <c r="B9" i="6"/>
  <c r="C9" i="6"/>
  <c r="D9" i="6"/>
  <c r="E9" i="6"/>
  <c r="F9" i="6"/>
  <c r="G9" i="6"/>
  <c r="H9" i="6"/>
  <c r="B11" i="6"/>
  <c r="C11" i="6"/>
  <c r="D11" i="6"/>
  <c r="E11" i="6"/>
  <c r="F11" i="6"/>
  <c r="G11" i="6"/>
  <c r="H11" i="6"/>
  <c r="B13" i="6"/>
  <c r="C13" i="6"/>
  <c r="D13" i="6"/>
  <c r="E13" i="6"/>
  <c r="F13" i="6"/>
  <c r="G13" i="6"/>
  <c r="H13" i="6"/>
  <c r="B15" i="6"/>
</calcChain>
</file>

<file path=xl/sharedStrings.xml><?xml version="1.0" encoding="utf-8"?>
<sst xmlns="http://schemas.openxmlformats.org/spreadsheetml/2006/main" count="231" uniqueCount="43">
  <si>
    <t>MONDAY</t>
  </si>
  <si>
    <t>TUESDAY</t>
  </si>
  <si>
    <t>WEDNESDAY</t>
  </si>
  <si>
    <t>THURSDAY</t>
  </si>
  <si>
    <t>FRIDAY</t>
  </si>
  <si>
    <t>SATURDAY</t>
  </si>
  <si>
    <t>SUNDAY</t>
  </si>
  <si>
    <t>NOTES:</t>
  </si>
  <si>
    <t>MEM Monthly Planning Meeting 7:00pm - 8:30pm</t>
  </si>
  <si>
    <t>Father's Day</t>
  </si>
  <si>
    <t>MEM Monthly Planning Meeting CANCELLED</t>
  </si>
  <si>
    <t>MEM MONTHLY Planning Meeting  7:00 - 8:30pm</t>
  </si>
  <si>
    <t>MEM Monthly Planning Meeting 7:00 - 8:30 pm</t>
  </si>
  <si>
    <t>MEM Monthly Planning Meeting 7:00-8:30PM</t>
  </si>
  <si>
    <t>MEM OUTREACH: Book Drive Begins</t>
  </si>
  <si>
    <t xml:space="preserve"> </t>
  </si>
  <si>
    <t>MEM OUTREACH:  Street Light Ministry  7:15 - 8:30pm</t>
  </si>
  <si>
    <t>Memorial Day</t>
  </si>
  <si>
    <t>Holiday</t>
  </si>
  <si>
    <t>MEM OUTREACH: Streetlight Ministries 7:00pm - 8:30pm</t>
  </si>
  <si>
    <t>Christmas</t>
  </si>
  <si>
    <t xml:space="preserve">Wishing each of you a Joyous Holiday Season.  May you enjoy His many Blessings and have Grace and Peace of Mind in the coming year! </t>
  </si>
  <si>
    <t xml:space="preserve"> MEM NB Spring Session                         11am-1pm</t>
  </si>
  <si>
    <r>
      <t xml:space="preserve">First Mount Zion Baptist Church, Mary-Elizabeth Ministry (MEM): Contact us at: maryelizabeth@firstmountzionbc.org </t>
    </r>
    <r>
      <rPr>
        <b/>
        <sz val="11"/>
        <rFont val="Cambria"/>
        <family val="1"/>
        <scheme val="minor"/>
      </rPr>
      <t>or</t>
    </r>
    <r>
      <rPr>
        <b/>
        <sz val="11"/>
        <color rgb="FF6600FF"/>
        <rFont val="Cambria"/>
        <family val="1"/>
        <scheme val="minor"/>
      </rPr>
      <t xml:space="preserve"> http://fmzbc.com/mem</t>
    </r>
  </si>
  <si>
    <r>
      <rPr>
        <b/>
        <sz val="11"/>
        <color rgb="FF6600FF"/>
        <rFont val="Cambria"/>
        <family val="1"/>
        <scheme val="minor"/>
      </rPr>
      <t>First Mount Zion Baptist Church, Mary-Elizabeth Ministry (MEM): Contact us at: maryelizabeth@firstmountzionbc.org</t>
    </r>
    <r>
      <rPr>
        <b/>
        <sz val="11"/>
        <color theme="5" tint="-0.249977111117893"/>
        <rFont val="Cambria"/>
        <family val="1"/>
        <scheme val="minor"/>
      </rPr>
      <t xml:space="preserve"> </t>
    </r>
    <r>
      <rPr>
        <b/>
        <sz val="11"/>
        <rFont val="Cambria"/>
        <family val="1"/>
        <scheme val="minor"/>
      </rPr>
      <t>or</t>
    </r>
    <r>
      <rPr>
        <b/>
        <sz val="11"/>
        <color theme="5" tint="-0.249977111117893"/>
        <rFont val="Cambria"/>
        <family val="1"/>
        <scheme val="minor"/>
      </rPr>
      <t xml:space="preserve"> </t>
    </r>
    <r>
      <rPr>
        <b/>
        <sz val="11"/>
        <color rgb="FF0000FF"/>
        <rFont val="Cambria"/>
        <family val="1"/>
        <scheme val="minor"/>
      </rPr>
      <t>http://fmzbc.com/mem</t>
    </r>
    <r>
      <rPr>
        <b/>
        <sz val="11"/>
        <color theme="5" tint="-0.249977111117893"/>
        <rFont val="Cambria"/>
        <family val="1"/>
        <scheme val="minor"/>
      </rPr>
      <t xml:space="preserve"> </t>
    </r>
  </si>
  <si>
    <r>
      <t xml:space="preserve">First Mount Zion Baptist Church, Mary-Elizabeth Ministry (MEM): Contact us at: maryelizabeth@firstmountzionbc.org </t>
    </r>
    <r>
      <rPr>
        <b/>
        <sz val="11"/>
        <rFont val="Cambria"/>
        <family val="1"/>
        <scheme val="minor"/>
      </rPr>
      <t>or</t>
    </r>
    <r>
      <rPr>
        <b/>
        <sz val="11"/>
        <color rgb="FF6600FF"/>
        <rFont val="Cambria"/>
        <family val="1"/>
        <scheme val="minor"/>
      </rPr>
      <t xml:space="preserve"> </t>
    </r>
    <r>
      <rPr>
        <b/>
        <sz val="11"/>
        <color rgb="FF0000FF"/>
        <rFont val="Cambria"/>
        <family val="1"/>
        <scheme val="minor"/>
      </rPr>
      <t>http://fmzbc.com/mem</t>
    </r>
  </si>
  <si>
    <r>
      <t xml:space="preserve">First Mount Zion Baptist Church, Mary-Elizabeth Ministry (MEM): Contact us at: maryelizabeth@firstmountzionbc.org </t>
    </r>
    <r>
      <rPr>
        <b/>
        <sz val="11"/>
        <rFont val="Cambria"/>
        <family val="1"/>
        <scheme val="minor"/>
      </rPr>
      <t xml:space="preserve">or </t>
    </r>
    <r>
      <rPr>
        <b/>
        <sz val="11"/>
        <color rgb="FF0000FF"/>
        <rFont val="Cambria"/>
        <family val="1"/>
        <scheme val="minor"/>
      </rPr>
      <t>http://fmzbc.com/mem</t>
    </r>
  </si>
  <si>
    <r>
      <t xml:space="preserve">First Mount Zion Baptist Church, Mary-Elizabeth Ministry (MEM): Contact us at: maryelizabeth@firstmountzionbc.org </t>
    </r>
    <r>
      <rPr>
        <b/>
        <sz val="11"/>
        <rFont val="Cambria"/>
        <family val="1"/>
        <scheme val="minor"/>
      </rPr>
      <t>or</t>
    </r>
    <r>
      <rPr>
        <b/>
        <sz val="11"/>
        <color rgb="FF6600FF"/>
        <rFont val="Cambria"/>
        <family val="1"/>
        <scheme val="minor"/>
      </rPr>
      <t xml:space="preserve"> </t>
    </r>
    <r>
      <rPr>
        <b/>
        <sz val="11"/>
        <color rgb="FF0000FF"/>
        <rFont val="Cambria"/>
        <family val="1"/>
        <scheme val="minor"/>
      </rPr>
      <t>fmzbc.com/mem</t>
    </r>
    <r>
      <rPr>
        <b/>
        <sz val="11"/>
        <color rgb="FF6600FF"/>
        <rFont val="Cambria"/>
        <family val="1"/>
        <scheme val="minor"/>
      </rPr>
      <t xml:space="preserve"> </t>
    </r>
  </si>
  <si>
    <t xml:space="preserve">Volunteer Screening Ministry  9am - 12pm    </t>
  </si>
  <si>
    <t xml:space="preserve">MEM MONTHLY Planning Meeting  7:00 - 8:30pm  </t>
  </si>
  <si>
    <t xml:space="preserve">MEM Monthly Planning Meeting 7:00pm - 8:30pm </t>
  </si>
  <si>
    <t>MEM New Beginnings Fall Session - 11:00am - 1:00pm</t>
  </si>
  <si>
    <t>MEM OUTREACH:  Diapers &amp; Wipes End</t>
  </si>
  <si>
    <t>MEM OUTREACH:  Diapers &amp; Wipes Begin</t>
  </si>
  <si>
    <t>MEM Life Skills Reunion                    (11am-1pm)</t>
  </si>
  <si>
    <t>MEM OUTREACH: Book Drive Ends</t>
  </si>
  <si>
    <t>MEM OUTREACH: School Supplies Begin</t>
  </si>
  <si>
    <t>MEM OUTREACH: School Supplies End</t>
  </si>
  <si>
    <t>MEM New Beginnings Fall Session - 11:00am - 2:00pm</t>
  </si>
  <si>
    <t>Street Light Ministries Outreach: 7:00pm-8:30pm</t>
  </si>
  <si>
    <t xml:space="preserve"> MEM NB Spring Session   11am-2pm;    Volunteer Screening  9am-Noon</t>
  </si>
  <si>
    <t>Volunteer Screening       9am - Noon</t>
  </si>
  <si>
    <t>MEM NB Fall Session - 11am - 1pm;   Volunteer Screening 9am-Noon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</si>
</sst>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"/>
    <numFmt numFmtId="165" formatCode="mmmm\ yyyy"/>
    <numFmt numFmtId="166" formatCode="mmmm"/>
  </numFmts>
  <fonts count="31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  <font>
      <sz val="14"/>
      <color rgb="FF222222"/>
      <name val="Arial"/>
      <family val="2"/>
    </font>
    <font>
      <sz val="11"/>
      <color theme="5"/>
      <name val="Cambria"/>
      <family val="2"/>
      <scheme val="minor"/>
    </font>
    <font>
      <b/>
      <sz val="11"/>
      <color theme="5" tint="-0.249977111117893"/>
      <name val="Cambria"/>
      <family val="1"/>
      <scheme val="minor"/>
    </font>
    <font>
      <sz val="11"/>
      <color theme="4" tint="-0.499984740745262"/>
      <name val="Cambria"/>
      <family val="2"/>
      <scheme val="minor"/>
    </font>
    <font>
      <b/>
      <sz val="11"/>
      <color theme="4" tint="-0.499984740745262"/>
      <name val="Cambria"/>
      <family val="1"/>
      <scheme val="minor"/>
    </font>
    <font>
      <i/>
      <sz val="11"/>
      <color rgb="FF7030A0"/>
      <name val="Cambria"/>
      <family val="1"/>
      <scheme val="minor"/>
    </font>
    <font>
      <i/>
      <sz val="11"/>
      <color rgb="FFC17529"/>
      <name val="Cambria"/>
      <family val="1"/>
      <scheme val="minor"/>
    </font>
    <font>
      <sz val="40"/>
      <color rgb="FF6600FF"/>
      <name val="Cambria"/>
      <family val="2"/>
      <scheme val="minor"/>
    </font>
    <font>
      <b/>
      <sz val="9"/>
      <color rgb="FF6600FF"/>
      <name val="Cambria"/>
      <family val="2"/>
      <scheme val="minor"/>
    </font>
    <font>
      <sz val="11"/>
      <color rgb="FF6600FF"/>
      <name val="Cambria"/>
      <family val="2"/>
      <scheme val="minor"/>
    </font>
    <font>
      <sz val="10"/>
      <color rgb="FF6600FF"/>
      <name val="Cambria"/>
      <family val="2"/>
      <scheme val="minor"/>
    </font>
    <font>
      <b/>
      <sz val="10"/>
      <color rgb="FF6600FF"/>
      <name val="Cambria"/>
      <family val="2"/>
      <scheme val="minor"/>
    </font>
    <font>
      <b/>
      <sz val="11"/>
      <color rgb="FF6600FF"/>
      <name val="Cambria"/>
      <family val="2"/>
      <scheme val="minor"/>
    </font>
    <font>
      <b/>
      <sz val="11"/>
      <color rgb="FF6600FF"/>
      <name val="Cambria"/>
      <family val="1"/>
      <scheme val="minor"/>
    </font>
    <font>
      <b/>
      <sz val="11"/>
      <name val="Cambria"/>
      <family val="1"/>
      <scheme val="minor"/>
    </font>
    <font>
      <b/>
      <sz val="11"/>
      <color rgb="FF0000FF"/>
      <name val="Cambria"/>
      <family val="1"/>
      <scheme val="minor"/>
    </font>
    <font>
      <b/>
      <sz val="9"/>
      <color rgb="FF6600FF"/>
      <name val="Cambria"/>
      <family val="1"/>
      <scheme val="minor"/>
    </font>
    <font>
      <b/>
      <sz val="10"/>
      <color rgb="FF6600FF"/>
      <name val="Cambria"/>
      <family val="1"/>
      <scheme val="minor"/>
    </font>
    <font>
      <sz val="11"/>
      <color rgb="FF6600FF"/>
      <name val="Cambria"/>
      <family val="1"/>
      <scheme val="minor"/>
    </font>
    <font>
      <sz val="40"/>
      <color rgb="FF6600FF"/>
      <name val="Cambria"/>
      <family val="1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rgb="FFA19574"/>
      </bottom>
      <diagonal/>
    </border>
    <border>
      <left style="thin">
        <color theme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8"/>
      </right>
      <top/>
      <bottom style="thin">
        <color indexed="64"/>
      </bottom>
      <diagonal/>
    </border>
    <border>
      <left style="thin">
        <color theme="8"/>
      </left>
      <right style="thin">
        <color theme="8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67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9" fillId="0" borderId="0" xfId="1" applyFont="1" applyFill="1" applyAlignment="1">
      <alignment horizontal="right"/>
    </xf>
    <xf numFmtId="0" fontId="10" fillId="0" borderId="0" xfId="0" applyFont="1" applyFill="1" applyAlignment="1">
      <alignment horizontal="right" vertical="top"/>
    </xf>
    <xf numFmtId="0" fontId="0" fillId="0" borderId="0" xfId="0" applyFill="1"/>
    <xf numFmtId="0" fontId="11" fillId="0" borderId="0" xfId="0" applyFont="1"/>
    <xf numFmtId="0" fontId="12" fillId="0" borderId="0" xfId="1" applyFont="1"/>
    <xf numFmtId="0" fontId="14" fillId="0" borderId="0" xfId="1" applyFont="1"/>
    <xf numFmtId="0" fontId="16" fillId="0" borderId="0" xfId="0" applyFont="1" applyAlignment="1">
      <alignment horizontal="right" vertical="center"/>
    </xf>
    <xf numFmtId="0" fontId="17" fillId="0" borderId="0" xfId="0" applyFont="1" applyAlignment="1">
      <alignment horizontal="center" vertical="center"/>
    </xf>
    <xf numFmtId="0" fontId="15" fillId="0" borderId="0" xfId="1" applyFont="1"/>
    <xf numFmtId="0" fontId="19" fillId="6" borderId="2" xfId="2" applyFont="1" applyFill="1" applyBorder="1" applyAlignment="1">
      <alignment horizontal="center" vertical="center"/>
    </xf>
    <xf numFmtId="0" fontId="19" fillId="6" borderId="3" xfId="2" applyFont="1" applyFill="1" applyBorder="1" applyAlignment="1">
      <alignment horizontal="center" vertical="center"/>
    </xf>
    <xf numFmtId="0" fontId="19" fillId="6" borderId="4" xfId="2" applyFont="1" applyFill="1" applyBorder="1" applyAlignment="1">
      <alignment horizontal="center" vertical="center"/>
    </xf>
    <xf numFmtId="164" fontId="20" fillId="6" borderId="11" xfId="1" applyNumberFormat="1" applyFont="1" applyFill="1" applyBorder="1" applyAlignment="1">
      <alignment horizontal="left" vertical="top" wrapText="1"/>
    </xf>
    <xf numFmtId="0" fontId="21" fillId="6" borderId="10" xfId="1" applyFont="1" applyFill="1" applyBorder="1" applyAlignment="1">
      <alignment horizontal="center" vertical="top" wrapText="1"/>
    </xf>
    <xf numFmtId="0" fontId="21" fillId="6" borderId="10" xfId="3" applyFont="1" applyFill="1" applyBorder="1" applyAlignment="1">
      <alignment horizontal="center" vertical="top" wrapText="1"/>
    </xf>
    <xf numFmtId="0" fontId="22" fillId="6" borderId="10" xfId="3" applyFont="1" applyFill="1" applyBorder="1" applyAlignment="1">
      <alignment horizontal="center" vertical="top" wrapText="1"/>
    </xf>
    <xf numFmtId="164" fontId="20" fillId="6" borderId="12" xfId="1" applyNumberFormat="1" applyFont="1" applyFill="1" applyBorder="1" applyAlignment="1">
      <alignment horizontal="left" vertical="top" wrapText="1"/>
    </xf>
    <xf numFmtId="0" fontId="22" fillId="6" borderId="10" xfId="1" applyFont="1" applyFill="1" applyBorder="1" applyAlignment="1">
      <alignment horizontal="center" vertical="top" wrapText="1"/>
    </xf>
    <xf numFmtId="0" fontId="19" fillId="6" borderId="10" xfId="3" applyFont="1" applyFill="1" applyBorder="1" applyAlignment="1">
      <alignment horizontal="center" vertical="top" wrapText="1"/>
    </xf>
    <xf numFmtId="164" fontId="20" fillId="6" borderId="13" xfId="1" applyNumberFormat="1" applyFont="1" applyFill="1" applyBorder="1" applyAlignment="1">
      <alignment horizontal="left" vertical="top" wrapText="1"/>
    </xf>
    <xf numFmtId="0" fontId="20" fillId="0" borderId="0" xfId="1" applyFont="1" applyFill="1"/>
    <xf numFmtId="0" fontId="2" fillId="0" borderId="0" xfId="1" applyFill="1"/>
    <xf numFmtId="0" fontId="27" fillId="6" borderId="2" xfId="2" applyFont="1" applyFill="1" applyBorder="1" applyAlignment="1">
      <alignment horizontal="center" vertical="center"/>
    </xf>
    <xf numFmtId="0" fontId="27" fillId="6" borderId="3" xfId="2" applyFont="1" applyFill="1" applyBorder="1" applyAlignment="1">
      <alignment horizontal="center" vertical="center"/>
    </xf>
    <xf numFmtId="0" fontId="27" fillId="6" borderId="4" xfId="2" applyFont="1" applyFill="1" applyBorder="1" applyAlignment="1">
      <alignment horizontal="center" vertical="center"/>
    </xf>
    <xf numFmtId="164" fontId="24" fillId="6" borderId="11" xfId="1" applyNumberFormat="1" applyFont="1" applyFill="1" applyBorder="1" applyAlignment="1">
      <alignment horizontal="left" vertical="top" wrapText="1"/>
    </xf>
    <xf numFmtId="0" fontId="28" fillId="6" borderId="10" xfId="1" applyFont="1" applyFill="1" applyBorder="1" applyAlignment="1">
      <alignment horizontal="center" vertical="top" wrapText="1"/>
    </xf>
    <xf numFmtId="0" fontId="28" fillId="6" borderId="10" xfId="3" applyFont="1" applyFill="1" applyBorder="1" applyAlignment="1">
      <alignment horizontal="center" vertical="top" wrapText="1"/>
    </xf>
    <xf numFmtId="164" fontId="24" fillId="6" borderId="12" xfId="1" applyNumberFormat="1" applyFont="1" applyFill="1" applyBorder="1" applyAlignment="1">
      <alignment horizontal="left" vertical="top" wrapText="1"/>
    </xf>
    <xf numFmtId="0" fontId="29" fillId="6" borderId="17" xfId="1" applyFont="1" applyFill="1" applyBorder="1"/>
    <xf numFmtId="0" fontId="29" fillId="6" borderId="18" xfId="1" applyFont="1" applyFill="1" applyBorder="1"/>
    <xf numFmtId="164" fontId="24" fillId="6" borderId="13" xfId="1" applyNumberFormat="1" applyFont="1" applyFill="1" applyBorder="1" applyAlignment="1">
      <alignment horizontal="left" vertical="top" wrapText="1"/>
    </xf>
    <xf numFmtId="0" fontId="20" fillId="6" borderId="10" xfId="1" applyFont="1" applyFill="1" applyBorder="1"/>
    <xf numFmtId="0" fontId="20" fillId="6" borderId="0" xfId="1" applyFont="1" applyFill="1"/>
    <xf numFmtId="0" fontId="24" fillId="6" borderId="15" xfId="1" applyFont="1" applyFill="1" applyBorder="1"/>
    <xf numFmtId="0" fontId="28" fillId="6" borderId="15" xfId="1" applyFont="1" applyFill="1" applyBorder="1" applyAlignment="1">
      <alignment horizontal="center" vertical="top" wrapText="1"/>
    </xf>
    <xf numFmtId="0" fontId="2" fillId="6" borderId="0" xfId="1" applyFill="1"/>
    <xf numFmtId="0" fontId="4" fillId="6" borderId="0" xfId="1" applyFont="1" applyFill="1"/>
    <xf numFmtId="0" fontId="2" fillId="6" borderId="19" xfId="1" applyFill="1" applyBorder="1"/>
    <xf numFmtId="0" fontId="24" fillId="6" borderId="16" xfId="1" applyFont="1" applyFill="1" applyBorder="1" applyAlignment="1">
      <alignment horizontal="center" vertical="center" wrapText="1"/>
    </xf>
    <xf numFmtId="0" fontId="23" fillId="6" borderId="14" xfId="2" applyFont="1" applyFill="1" applyBorder="1" applyAlignment="1">
      <alignment horizontal="left" vertical="top" wrapText="1"/>
    </xf>
    <xf numFmtId="0" fontId="23" fillId="6" borderId="8" xfId="2" applyFont="1" applyFill="1" applyBorder="1" applyAlignment="1">
      <alignment horizontal="left" vertical="top" wrapText="1"/>
    </xf>
    <xf numFmtId="0" fontId="23" fillId="6" borderId="9" xfId="2" applyFont="1" applyFill="1" applyBorder="1" applyAlignment="1">
      <alignment horizontal="left" vertical="top" wrapText="1"/>
    </xf>
    <xf numFmtId="164" fontId="19" fillId="6" borderId="5" xfId="2" applyNumberFormat="1" applyFont="1" applyFill="1" applyBorder="1" applyAlignment="1">
      <alignment horizontal="left" vertical="center" wrapText="1"/>
    </xf>
    <xf numFmtId="164" fontId="19" fillId="6" borderId="6" xfId="2" applyNumberFormat="1" applyFont="1" applyFill="1" applyBorder="1" applyAlignment="1">
      <alignment horizontal="left" vertical="center" wrapText="1"/>
    </xf>
    <xf numFmtId="164" fontId="19" fillId="6" borderId="7" xfId="2" applyNumberFormat="1" applyFont="1" applyFill="1" applyBorder="1" applyAlignment="1">
      <alignment horizontal="left" vertical="center" wrapText="1"/>
    </xf>
    <xf numFmtId="165" fontId="18" fillId="0" borderId="8" xfId="1" applyNumberFormat="1" applyFont="1" applyBorder="1" applyAlignment="1">
      <alignment horizontal="left" vertical="center"/>
    </xf>
    <xf numFmtId="0" fontId="13" fillId="5" borderId="0" xfId="1" applyFont="1" applyFill="1" applyAlignment="1">
      <alignment horizontal="center" vertical="center"/>
    </xf>
    <xf numFmtId="165" fontId="18" fillId="0" borderId="0" xfId="1" applyNumberFormat="1" applyFont="1" applyFill="1" applyBorder="1" applyAlignment="1">
      <alignment horizontal="left" vertical="center"/>
    </xf>
    <xf numFmtId="164" fontId="27" fillId="6" borderId="5" xfId="2" applyNumberFormat="1" applyFont="1" applyFill="1" applyBorder="1" applyAlignment="1">
      <alignment horizontal="left" vertical="center" wrapText="1"/>
    </xf>
    <xf numFmtId="164" fontId="27" fillId="6" borderId="6" xfId="2" applyNumberFormat="1" applyFont="1" applyFill="1" applyBorder="1" applyAlignment="1">
      <alignment horizontal="left" vertical="center" wrapText="1"/>
    </xf>
    <xf numFmtId="164" fontId="27" fillId="6" borderId="7" xfId="2" applyNumberFormat="1" applyFont="1" applyFill="1" applyBorder="1" applyAlignment="1">
      <alignment horizontal="left" vertical="center" wrapText="1"/>
    </xf>
    <xf numFmtId="0" fontId="24" fillId="6" borderId="14" xfId="2" applyFont="1" applyFill="1" applyBorder="1" applyAlignment="1">
      <alignment horizontal="left" vertical="top" wrapText="1"/>
    </xf>
    <xf numFmtId="0" fontId="24" fillId="6" borderId="8" xfId="2" applyFont="1" applyFill="1" applyBorder="1" applyAlignment="1">
      <alignment horizontal="left" vertical="top" wrapText="1"/>
    </xf>
    <xf numFmtId="0" fontId="24" fillId="6" borderId="9" xfId="2" applyFont="1" applyFill="1" applyBorder="1" applyAlignment="1">
      <alignment horizontal="left" vertical="top" wrapText="1"/>
    </xf>
    <xf numFmtId="0" fontId="24" fillId="6" borderId="0" xfId="1" applyFont="1" applyFill="1" applyAlignment="1">
      <alignment horizontal="center" vertical="center"/>
    </xf>
    <xf numFmtId="165" fontId="18" fillId="0" borderId="0" xfId="1" applyNumberFormat="1" applyFont="1" applyBorder="1" applyAlignment="1">
      <alignment horizontal="left" vertical="center"/>
    </xf>
    <xf numFmtId="0" fontId="24" fillId="4" borderId="0" xfId="1" applyFont="1" applyFill="1" applyAlignment="1">
      <alignment horizontal="center" vertical="center"/>
    </xf>
    <xf numFmtId="165" fontId="30" fillId="0" borderId="0" xfId="1" applyNumberFormat="1" applyFont="1" applyBorder="1" applyAlignment="1">
      <alignment horizontal="left" vertical="center"/>
    </xf>
  </cellXfs>
  <cellStyles count="6">
    <cellStyle name="40% - Accent1 2" xfId="3"/>
    <cellStyle name="Accent1 2" xfId="2"/>
    <cellStyle name="Heading 1 2" xfId="4"/>
    <cellStyle name="Hyperlink" xfId="5" builtinId="8"/>
    <cellStyle name="Normal" xfId="0" builtinId="0" customBuiltin="1"/>
    <cellStyle name="Normal 2" xfId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6600FF"/>
      <color rgb="FF0000FF"/>
      <color rgb="FF4C643E"/>
      <color rgb="FFFF9900"/>
      <color rgb="FFC17529"/>
      <color rgb="FFA19574"/>
      <color rgb="FF008000"/>
      <color rgb="FFFF33CC"/>
      <color rgb="FFFDFDFD"/>
      <color rgb="FFEAE8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5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2" Type="http://schemas.openxmlformats.org/officeDocument/2006/relationships/image" Target="../media/image3.png"/><Relationship Id="rId1" Type="http://schemas.openxmlformats.org/officeDocument/2006/relationships/image" Target="../media/image2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g"/><Relationship Id="rId2" Type="http://schemas.openxmlformats.org/officeDocument/2006/relationships/image" Target="../media/image25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g"/><Relationship Id="rId2" Type="http://schemas.openxmlformats.org/officeDocument/2006/relationships/image" Target="../media/image3.png"/><Relationship Id="rId1" Type="http://schemas.openxmlformats.org/officeDocument/2006/relationships/image" Target="../media/image27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3.png"/><Relationship Id="rId1" Type="http://schemas.openxmlformats.org/officeDocument/2006/relationships/image" Target="../media/image6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hyperlink" Target="http://www.google.com/imgres?sa=X&amp;rlz=1T4AURU_enUS499US499&amp;biw=824&amp;bih=840&amp;tbm=isch&amp;tbnid=0UamSftnU3veEM:&amp;imgrefurl=http://www.hdwallpapers3d.com/cute-baby-pictures/&amp;docid=nfBLbf7pU6B61M&amp;imgurl=http://www.hdwallpapers3d.com/wp-content/uploads/2013/05/Lovely-Baby.jpg&amp;w=2560&amp;h=1600&amp;ei=J5pmUoKvBPPd4AOT0IDIDA&amp;zoom=1&amp;ved=1t:3588,r:5,s:0,i:105&amp;iact=rc&amp;page=1&amp;tbnh=177&amp;tbnw=284&amp;start=0&amp;ndsp=10&amp;tx=164&amp;ty=115" TargetMode="External"/><Relationship Id="rId1" Type="http://schemas.openxmlformats.org/officeDocument/2006/relationships/image" Target="../media/image3.png"/><Relationship Id="rId4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3.png"/><Relationship Id="rId4" Type="http://schemas.openxmlformats.org/officeDocument/2006/relationships/image" Target="../media/image1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google.com/imgres?sa=X&amp;rlz=1T4AURU_enUS499US499&amp;biw=1254&amp;bih=832&amp;tbm=isch&amp;tbnid=X8InTp4jlJlzNM:&amp;imgrefurl=http://community.babycenter.com/post/a27137969/lets_see_the_mixed_babies&amp;docid=-inv_sCAaka-EM&amp;imgurl=http://a5.sphotos.ak.fbcdn.net/hphotos-ak-snc6/199132_10100282834529163_3207275_54675942_184112_n.jpg&amp;w=594&amp;h=522&amp;ei=16lmUrrCFI-24APek4CIDw&amp;zoom=1&amp;iact=rc&amp;page=3&amp;tbnh=195&amp;tbnw=206&amp;start=49&amp;ndsp=31&amp;ved=1t:429,r:66,s:0&amp;tx=105&amp;ty=129" TargetMode="External"/><Relationship Id="rId2" Type="http://schemas.openxmlformats.org/officeDocument/2006/relationships/image" Target="../media/image3.png"/><Relationship Id="rId1" Type="http://schemas.openxmlformats.org/officeDocument/2006/relationships/image" Target="../media/image15.jpeg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2" Type="http://schemas.openxmlformats.org/officeDocument/2006/relationships/image" Target="../media/image17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g"/><Relationship Id="rId2" Type="http://schemas.openxmlformats.org/officeDocument/2006/relationships/image" Target="../media/image19.jpeg"/><Relationship Id="rId1" Type="http://schemas.openxmlformats.org/officeDocument/2006/relationships/hyperlink" Target="http://www.google.com/imgres?start=352&amp;biw=1393&amp;bih=811&amp;tbm=isch&amp;tbnid=pss55T_wVar0dM:&amp;imgrefurl=http://www.anybabycan.org/programs-services/parenting-classes-and-support-groups/&amp;docid=sXP9e1E_7FzwaM&amp;imgurl=http://www.anybabycan.org/images/sized/public/upload/images/subpage-banner/UT-baby-231x185.jpg&amp;w=231&amp;h=185&amp;ei=o2PHUs7-F4nQkQe-2ICoBQ&amp;zoom=1&amp;ved=1t:3588,r:56,s:300,i:172&amp;iact=rc&amp;page=13&amp;tbnh=148&amp;tbnw=183&amp;ndsp=26&amp;tx=77&amp;ty=70" TargetMode="External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3.png"/><Relationship Id="rId1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1047750</xdr:colOff>
          <xdr:row>1</xdr:row>
          <xdr:rowOff>85725</xdr:rowOff>
        </xdr:from>
        <xdr:to>
          <xdr:col>11</xdr:col>
          <xdr:colOff>114300</xdr:colOff>
          <xdr:row>1</xdr:row>
          <xdr:rowOff>314325</xdr:rowOff>
        </xdr:to>
        <xdr:sp macro="" textlink="">
          <xdr:nvSpPr>
            <xdr:cNvPr id="1026" name="Spinner 2" descr="Spinner control. Use spinner to change calendar year or type desired year in cell L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8</xdr:col>
      <xdr:colOff>213776</xdr:colOff>
      <xdr:row>12</xdr:row>
      <xdr:rowOff>142696</xdr:rowOff>
    </xdr:from>
    <xdr:to>
      <xdr:col>9</xdr:col>
      <xdr:colOff>968006</xdr:colOff>
      <xdr:row>16</xdr:row>
      <xdr:rowOff>203931</xdr:rowOff>
    </xdr:to>
    <xdr:sp macro="" textlink="">
      <xdr:nvSpPr>
        <xdr:cNvPr id="8" name="TextBox 7" descr="Address&#10;City, State, ZIP&#10;&#10;Phone&#10;FAX&#10;Email&#10;Web"/>
        <xdr:cNvSpPr txBox="1"/>
      </xdr:nvSpPr>
      <xdr:spPr>
        <a:xfrm>
          <a:off x="8748176" y="5867221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endParaRPr lang="en-US" sz="1100"/>
        </a:p>
        <a:p>
          <a:pPr algn="r"/>
          <a:r>
            <a:rPr lang="en-US" sz="1100" i="1">
              <a:solidFill>
                <a:srgbClr val="7030A0"/>
              </a:solidFill>
            </a:rPr>
            <a:t>Mary Elizabeth Ministry</a:t>
          </a:r>
        </a:p>
        <a:p>
          <a:pPr algn="ctr"/>
          <a:r>
            <a:rPr lang="en-US" sz="1100" i="1">
              <a:solidFill>
                <a:srgbClr val="C17529"/>
              </a:solidFill>
            </a:rPr>
            <a:t>"For with God</a:t>
          </a:r>
        </a:p>
        <a:p>
          <a:pPr algn="ctr"/>
          <a:r>
            <a:rPr lang="en-US" sz="1100" i="1">
              <a:solidFill>
                <a:srgbClr val="C17529"/>
              </a:solidFill>
            </a:rPr>
            <a:t>all things are possible"</a:t>
          </a:r>
        </a:p>
        <a:p>
          <a:endParaRPr lang="en-US" sz="1100"/>
        </a:p>
      </xdr:txBody>
    </xdr:sp>
    <xdr:clientData/>
  </xdr:twoCellAnchor>
  <xdr:twoCellAnchor>
    <xdr:from>
      <xdr:col>8</xdr:col>
      <xdr:colOff>509051</xdr:colOff>
      <xdr:row>12</xdr:row>
      <xdr:rowOff>171271</xdr:rowOff>
    </xdr:from>
    <xdr:to>
      <xdr:col>9</xdr:col>
      <xdr:colOff>303925</xdr:colOff>
      <xdr:row>14</xdr:row>
      <xdr:rowOff>130423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043451" y="5895796"/>
          <a:ext cx="975974" cy="968802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257175</xdr:colOff>
      <xdr:row>2</xdr:row>
      <xdr:rowOff>771525</xdr:rowOff>
    </xdr:from>
    <xdr:to>
      <xdr:col>10</xdr:col>
      <xdr:colOff>19050</xdr:colOff>
      <xdr:row>7</xdr:row>
      <xdr:rowOff>314325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1333500"/>
          <a:ext cx="2028825" cy="1866900"/>
        </a:xfrm>
        <a:prstGeom prst="rect">
          <a:avLst/>
        </a:prstGeom>
      </xdr:spPr>
    </xdr:pic>
    <xdr:clientData/>
  </xdr:twoCellAnchor>
  <xdr:twoCellAnchor editAs="oneCell">
    <xdr:from>
      <xdr:col>8</xdr:col>
      <xdr:colOff>384478</xdr:colOff>
      <xdr:row>7</xdr:row>
      <xdr:rowOff>492681</xdr:rowOff>
    </xdr:from>
    <xdr:to>
      <xdr:col>10</xdr:col>
      <xdr:colOff>38100</xdr:colOff>
      <xdr:row>11</xdr:row>
      <xdr:rowOff>393953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18878" y="3378756"/>
          <a:ext cx="1920572" cy="19205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384083</xdr:colOff>
      <xdr:row>3</xdr:row>
      <xdr:rowOff>152400</xdr:rowOff>
    </xdr:from>
    <xdr:to>
      <xdr:col>9</xdr:col>
      <xdr:colOff>938562</xdr:colOff>
      <xdr:row>7</xdr:row>
      <xdr:rowOff>295275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8483" y="1504950"/>
          <a:ext cx="1735579" cy="1676400"/>
        </a:xfrm>
        <a:prstGeom prst="rect">
          <a:avLst/>
        </a:prstGeom>
      </xdr:spPr>
    </xdr:pic>
    <xdr:clientData/>
  </xdr:twoCellAnchor>
  <xdr:twoCellAnchor>
    <xdr:from>
      <xdr:col>8</xdr:col>
      <xdr:colOff>438150</xdr:colOff>
      <xdr:row>12</xdr:row>
      <xdr:rowOff>0</xdr:rowOff>
    </xdr:from>
    <xdr:to>
      <xdr:col>9</xdr:col>
      <xdr:colOff>233024</xdr:colOff>
      <xdr:row>13</xdr:row>
      <xdr:rowOff>778302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972550" y="5724525"/>
          <a:ext cx="975974" cy="968802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8</xdr:col>
      <xdr:colOff>333375</xdr:colOff>
      <xdr:row>11</xdr:row>
      <xdr:rowOff>809625</xdr:rowOff>
    </xdr:from>
    <xdr:to>
      <xdr:col>10</xdr:col>
      <xdr:colOff>1755</xdr:colOff>
      <xdr:row>16</xdr:row>
      <xdr:rowOff>51710</xdr:rowOff>
    </xdr:to>
    <xdr:sp macro="" textlink="">
      <xdr:nvSpPr>
        <xdr:cNvPr id="13" name="TextBox 12" descr="Address&#10;City, State, ZIP&#10;&#10;Phone&#10;FAX&#10;Email&#10;Web"/>
        <xdr:cNvSpPr txBox="1"/>
      </xdr:nvSpPr>
      <xdr:spPr>
        <a:xfrm>
          <a:off x="8867775" y="571500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endParaRPr lang="en-US" sz="1100"/>
        </a:p>
        <a:p>
          <a:pPr algn="r"/>
          <a:r>
            <a:rPr lang="en-US" sz="1100" i="1">
              <a:solidFill>
                <a:srgbClr val="7030A0"/>
              </a:solidFill>
            </a:rPr>
            <a:t>Mary Elizabeth Ministry</a:t>
          </a:r>
        </a:p>
        <a:p>
          <a:pPr algn="ctr"/>
          <a:r>
            <a:rPr lang="en-US" sz="1100" i="1">
              <a:solidFill>
                <a:srgbClr val="C17529"/>
              </a:solidFill>
            </a:rPr>
            <a:t>"For with God</a:t>
          </a:r>
        </a:p>
        <a:p>
          <a:pPr algn="ctr"/>
          <a:r>
            <a:rPr lang="en-US" sz="1100" i="1">
              <a:solidFill>
                <a:srgbClr val="C17529"/>
              </a:solidFill>
            </a:rPr>
            <a:t>all things are possible"</a:t>
          </a:r>
        </a:p>
        <a:p>
          <a:endParaRPr lang="en-US" sz="1100"/>
        </a:p>
      </xdr:txBody>
    </xdr:sp>
    <xdr:clientData/>
  </xdr:twoCellAnchor>
  <xdr:twoCellAnchor editAs="oneCell">
    <xdr:from>
      <xdr:col>8</xdr:col>
      <xdr:colOff>428625</xdr:colOff>
      <xdr:row>7</xdr:row>
      <xdr:rowOff>649925</xdr:rowOff>
    </xdr:from>
    <xdr:to>
      <xdr:col>9</xdr:col>
      <xdr:colOff>771525</xdr:colOff>
      <xdr:row>11</xdr:row>
      <xdr:rowOff>311298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3025" y="3536000"/>
          <a:ext cx="1524000" cy="16806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180975</xdr:colOff>
      <xdr:row>11</xdr:row>
      <xdr:rowOff>771525</xdr:rowOff>
    </xdr:from>
    <xdr:to>
      <xdr:col>9</xdr:col>
      <xdr:colOff>935205</xdr:colOff>
      <xdr:row>16</xdr:row>
      <xdr:rowOff>13610</xdr:rowOff>
    </xdr:to>
    <xdr:sp macro="" textlink="">
      <xdr:nvSpPr>
        <xdr:cNvPr id="8" name="TextBox 7" descr="Address&#10;City, State, ZIP&#10;&#10;Phone&#10;FAX&#10;Email&#10;Web"/>
        <xdr:cNvSpPr txBox="1"/>
      </xdr:nvSpPr>
      <xdr:spPr>
        <a:xfrm>
          <a:off x="8715375" y="567690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endParaRPr lang="en-US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en-US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en-US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en-US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en-US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en-US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1100" b="0" i="1" baseline="0">
              <a:solidFill>
                <a:srgbClr val="7030A0"/>
              </a:solidFill>
              <a:effectLst/>
              <a:latin typeface="+mn-lt"/>
              <a:ea typeface="+mn-ea"/>
              <a:cs typeface="+mn-cs"/>
            </a:rPr>
            <a:t>Mary Elizabeth Ministry</a:t>
          </a:r>
          <a:endParaRPr lang="en-US" b="0" i="1">
            <a:solidFill>
              <a:srgbClr val="7030A0"/>
            </a:solidFill>
            <a:effectLst/>
          </a:endParaRPr>
        </a:p>
        <a:p>
          <a:pPr algn="ctr" eaLnBrk="1" fontAlgn="auto" latinLnBrk="0" hangingPunct="1"/>
          <a:r>
            <a:rPr lang="en-US" sz="1100" b="0" i="1" baseline="0">
              <a:solidFill>
                <a:srgbClr val="FF9900"/>
              </a:solidFill>
              <a:effectLst/>
              <a:latin typeface="+mn-lt"/>
              <a:ea typeface="+mn-ea"/>
              <a:cs typeface="+mn-cs"/>
            </a:rPr>
            <a:t>"For with God</a:t>
          </a:r>
          <a:endParaRPr lang="en-US" b="0" i="1">
            <a:solidFill>
              <a:srgbClr val="FF9900"/>
            </a:solidFill>
            <a:effectLst/>
          </a:endParaRPr>
        </a:p>
        <a:p>
          <a:pPr eaLnBrk="1" fontAlgn="auto" latinLnBrk="0" hangingPunct="1"/>
          <a:r>
            <a:rPr lang="en-US" sz="1100" b="0" i="1" baseline="0">
              <a:solidFill>
                <a:srgbClr val="FF9900"/>
              </a:solidFill>
              <a:effectLst/>
              <a:latin typeface="+mn-lt"/>
              <a:ea typeface="+mn-ea"/>
              <a:cs typeface="+mn-cs"/>
            </a:rPr>
            <a:t>all things are possible"</a:t>
          </a:r>
          <a:endParaRPr lang="en-US" b="0" i="1">
            <a:solidFill>
              <a:srgbClr val="FF9900"/>
            </a:solidFill>
            <a:effectLst/>
          </a:endParaRPr>
        </a:p>
        <a:p>
          <a:endParaRPr lang="en-US" sz="1100"/>
        </a:p>
      </xdr:txBody>
    </xdr:sp>
    <xdr:clientData/>
  </xdr:twoCellAnchor>
  <xdr:twoCellAnchor>
    <xdr:from>
      <xdr:col>8</xdr:col>
      <xdr:colOff>304800</xdr:colOff>
      <xdr:row>12</xdr:row>
      <xdr:rowOff>28575</xdr:rowOff>
    </xdr:from>
    <xdr:to>
      <xdr:col>9</xdr:col>
      <xdr:colOff>99674</xdr:colOff>
      <xdr:row>13</xdr:row>
      <xdr:rowOff>806877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839200" y="5753100"/>
          <a:ext cx="975974" cy="968802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228600</xdr:colOff>
      <xdr:row>7</xdr:row>
      <xdr:rowOff>504825</xdr:rowOff>
    </xdr:from>
    <xdr:to>
      <xdr:col>9</xdr:col>
      <xdr:colOff>983941</xdr:colOff>
      <xdr:row>11</xdr:row>
      <xdr:rowOff>421966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3000" y="3390900"/>
          <a:ext cx="1936441" cy="1936441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2</xdr:row>
      <xdr:rowOff>771525</xdr:rowOff>
    </xdr:from>
    <xdr:to>
      <xdr:col>9</xdr:col>
      <xdr:colOff>962025</xdr:colOff>
      <xdr:row>7</xdr:row>
      <xdr:rowOff>323850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1333500"/>
          <a:ext cx="1876425" cy="18764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355508</xdr:colOff>
      <xdr:row>7</xdr:row>
      <xdr:rowOff>460334</xdr:rowOff>
    </xdr:from>
    <xdr:to>
      <xdr:col>9</xdr:col>
      <xdr:colOff>1054085</xdr:colOff>
      <xdr:row>11</xdr:row>
      <xdr:rowOff>449279</xdr:rowOff>
    </xdr:to>
    <xdr:pic>
      <xdr:nvPicPr>
        <xdr:cNvPr id="2" name="Picture 1" descr="Platter of brownie parfaits topped with crumbled brownie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9908" y="3346409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285750</xdr:colOff>
      <xdr:row>11</xdr:row>
      <xdr:rowOff>800100</xdr:rowOff>
    </xdr:from>
    <xdr:to>
      <xdr:col>9</xdr:col>
      <xdr:colOff>1039980</xdr:colOff>
      <xdr:row>16</xdr:row>
      <xdr:rowOff>42185</xdr:rowOff>
    </xdr:to>
    <xdr:sp macro="" textlink="">
      <xdr:nvSpPr>
        <xdr:cNvPr id="7" name="TextBox 6" descr="Address&#10;City, State, ZIP&#10;&#10;Phone&#10;FAX&#10;Email&#10;Web"/>
        <xdr:cNvSpPr txBox="1"/>
      </xdr:nvSpPr>
      <xdr:spPr>
        <a:xfrm>
          <a:off x="8820150" y="570547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endParaRPr lang="en-US" sz="1100"/>
        </a:p>
        <a:p>
          <a:pPr algn="r"/>
          <a:r>
            <a:rPr lang="en-US" sz="1100" i="1">
              <a:solidFill>
                <a:srgbClr val="7030A0"/>
              </a:solidFill>
            </a:rPr>
            <a:t>Mary Elizabeth Ministry</a:t>
          </a:r>
        </a:p>
        <a:p>
          <a:pPr algn="ctr"/>
          <a:r>
            <a:rPr lang="en-US" sz="1100" i="1">
              <a:solidFill>
                <a:srgbClr val="C17529"/>
              </a:solidFill>
            </a:rPr>
            <a:t>"For with God</a:t>
          </a:r>
        </a:p>
        <a:p>
          <a:pPr algn="ctr"/>
          <a:r>
            <a:rPr lang="en-US" sz="1100" i="1">
              <a:solidFill>
                <a:srgbClr val="C17529"/>
              </a:solidFill>
            </a:rPr>
            <a:t>all things are possible"</a:t>
          </a:r>
        </a:p>
        <a:p>
          <a:endParaRPr lang="en-US" sz="1100"/>
        </a:p>
      </xdr:txBody>
    </xdr:sp>
    <xdr:clientData/>
  </xdr:twoCellAnchor>
  <xdr:twoCellAnchor>
    <xdr:from>
      <xdr:col>8</xdr:col>
      <xdr:colOff>352425</xdr:colOff>
      <xdr:row>12</xdr:row>
      <xdr:rowOff>19050</xdr:rowOff>
    </xdr:from>
    <xdr:to>
      <xdr:col>9</xdr:col>
      <xdr:colOff>147299</xdr:colOff>
      <xdr:row>13</xdr:row>
      <xdr:rowOff>797352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886825" y="5743575"/>
          <a:ext cx="975974" cy="968802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238125</xdr:colOff>
      <xdr:row>3</xdr:row>
      <xdr:rowOff>38100</xdr:rowOff>
    </xdr:from>
    <xdr:to>
      <xdr:col>9</xdr:col>
      <xdr:colOff>962025</xdr:colOff>
      <xdr:row>7</xdr:row>
      <xdr:rowOff>247650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5"/>
        <a:stretch/>
      </xdr:blipFill>
      <xdr:spPr>
        <a:xfrm>
          <a:off x="8772525" y="1390650"/>
          <a:ext cx="1905000" cy="1743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326084</xdr:colOff>
      <xdr:row>7</xdr:row>
      <xdr:rowOff>614489</xdr:rowOff>
    </xdr:from>
    <xdr:to>
      <xdr:col>9</xdr:col>
      <xdr:colOff>769381</xdr:colOff>
      <xdr:row>10</xdr:row>
      <xdr:rowOff>47625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0484" y="3500564"/>
          <a:ext cx="1624397" cy="126193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752475</xdr:rowOff>
    </xdr:from>
    <xdr:to>
      <xdr:col>9</xdr:col>
      <xdr:colOff>1059030</xdr:colOff>
      <xdr:row>15</xdr:row>
      <xdr:rowOff>813710</xdr:rowOff>
    </xdr:to>
    <xdr:sp macro="" textlink="">
      <xdr:nvSpPr>
        <xdr:cNvPr id="8" name="TextBox 7" descr="Address&#10;City, State, ZIP&#10;&#10;Phone&#10;FAX&#10;Email&#10;Web"/>
        <xdr:cNvSpPr txBox="1"/>
      </xdr:nvSpPr>
      <xdr:spPr>
        <a:xfrm>
          <a:off x="8839200" y="565785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1" u="none" strike="noStrike" kern="0" cap="none" spc="0" normalizeH="0" baseline="0" noProof="0">
              <a:ln>
                <a:noFill/>
              </a:ln>
              <a:solidFill>
                <a:srgbClr val="7030A0"/>
              </a:solidFill>
              <a:effectLst/>
              <a:uLnTx/>
              <a:uFillTx/>
              <a:latin typeface="+mn-lt"/>
              <a:ea typeface="+mn-ea"/>
              <a:cs typeface="+mn-cs"/>
            </a:rPr>
            <a:t>Mary Elizabeth Ministry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1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"For with God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1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all things are possible"</a:t>
          </a:r>
        </a:p>
        <a:p>
          <a:endParaRPr lang="en-US" sz="1100"/>
        </a:p>
      </xdr:txBody>
    </xdr:sp>
    <xdr:clientData/>
  </xdr:twoCellAnchor>
  <xdr:twoCellAnchor>
    <xdr:from>
      <xdr:col>8</xdr:col>
      <xdr:colOff>414337</xdr:colOff>
      <xdr:row>11</xdr:row>
      <xdr:rowOff>809902</xdr:rowOff>
    </xdr:from>
    <xdr:to>
      <xdr:col>9</xdr:col>
      <xdr:colOff>416718</xdr:colOff>
      <xdr:row>14</xdr:row>
      <xdr:rowOff>164027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927306" y="5715277"/>
          <a:ext cx="1181100" cy="1187688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180975</xdr:colOff>
      <xdr:row>3</xdr:row>
      <xdr:rowOff>19051</xdr:rowOff>
    </xdr:from>
    <xdr:to>
      <xdr:col>9</xdr:col>
      <xdr:colOff>1003258</xdr:colOff>
      <xdr:row>5</xdr:row>
      <xdr:rowOff>676275</xdr:rowOff>
    </xdr:to>
    <xdr:pic>
      <xdr:nvPicPr>
        <xdr:cNvPr id="12" name="Picture 11" descr="Baby Toys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1371601"/>
          <a:ext cx="2003383" cy="118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317408</xdr:colOff>
      <xdr:row>7</xdr:row>
      <xdr:rowOff>794424</xdr:rowOff>
    </xdr:from>
    <xdr:to>
      <xdr:col>9</xdr:col>
      <xdr:colOff>1015985</xdr:colOff>
      <xdr:row>11</xdr:row>
      <xdr:rowOff>654801</xdr:rowOff>
    </xdr:to>
    <xdr:pic>
      <xdr:nvPicPr>
        <xdr:cNvPr id="6" name="Picture 5" descr="Platter of fresh radishes.  To change this picture, right-click picture and then click Change Picture.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1808" y="3680499"/>
          <a:ext cx="1879677" cy="1879677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271175</xdr:colOff>
      <xdr:row>12</xdr:row>
      <xdr:rowOff>27217</xdr:rowOff>
    </xdr:from>
    <xdr:to>
      <xdr:col>9</xdr:col>
      <xdr:colOff>1028701</xdr:colOff>
      <xdr:row>15</xdr:row>
      <xdr:rowOff>676275</xdr:rowOff>
    </xdr:to>
    <xdr:sp macro="" textlink="">
      <xdr:nvSpPr>
        <xdr:cNvPr id="5" name="TextBox 4" descr="Address&#10;City, State, ZIP&#10;&#10;Phone&#10;FAX&#10;Email&#10;Web"/>
        <xdr:cNvSpPr txBox="1"/>
      </xdr:nvSpPr>
      <xdr:spPr>
        <a:xfrm>
          <a:off x="8805575" y="5751742"/>
          <a:ext cx="1938626" cy="1849208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1" u="none" strike="noStrike" kern="0" cap="none" spc="0" normalizeH="0" baseline="0" noProof="0">
              <a:ln>
                <a:noFill/>
              </a:ln>
              <a:solidFill>
                <a:srgbClr val="7030A0"/>
              </a:solidFill>
              <a:effectLst/>
              <a:uLnTx/>
              <a:uFillTx/>
              <a:latin typeface="+mn-lt"/>
              <a:ea typeface="+mn-ea"/>
              <a:cs typeface="+mn-cs"/>
            </a:rPr>
            <a:t>Mary Elizabeth Ministry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1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"For with God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1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all things are possible"</a:t>
          </a:r>
        </a:p>
        <a:p>
          <a:endParaRPr lang="en-US" sz="1100"/>
        </a:p>
      </xdr:txBody>
    </xdr:sp>
    <xdr:clientData/>
  </xdr:twoCellAnchor>
  <xdr:twoCellAnchor>
    <xdr:from>
      <xdr:col>8</xdr:col>
      <xdr:colOff>509926</xdr:colOff>
      <xdr:row>12</xdr:row>
      <xdr:rowOff>123668</xdr:rowOff>
    </xdr:from>
    <xdr:to>
      <xdr:col>9</xdr:col>
      <xdr:colOff>304800</xdr:colOff>
      <xdr:row>14</xdr:row>
      <xdr:rowOff>82820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044326" y="5848193"/>
          <a:ext cx="975974" cy="968802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326933</xdr:colOff>
      <xdr:row>3</xdr:row>
      <xdr:rowOff>28574</xdr:rowOff>
    </xdr:from>
    <xdr:to>
      <xdr:col>9</xdr:col>
      <xdr:colOff>743728</xdr:colOff>
      <xdr:row>7</xdr:row>
      <xdr:rowOff>571500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61333" y="1381124"/>
          <a:ext cx="1597895" cy="20764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219075</xdr:colOff>
      <xdr:row>11</xdr:row>
      <xdr:rowOff>809625</xdr:rowOff>
    </xdr:from>
    <xdr:to>
      <xdr:col>9</xdr:col>
      <xdr:colOff>973305</xdr:colOff>
      <xdr:row>16</xdr:row>
      <xdr:rowOff>51710</xdr:rowOff>
    </xdr:to>
    <xdr:sp macro="" textlink="">
      <xdr:nvSpPr>
        <xdr:cNvPr id="8" name="TextBox 7" descr="Address&#10;City, State, ZIP&#10;&#10;Phone&#10;FAX&#10;Email&#10;Web"/>
        <xdr:cNvSpPr txBox="1"/>
      </xdr:nvSpPr>
      <xdr:spPr>
        <a:xfrm>
          <a:off x="8753475" y="571500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0" i="1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0" i="1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0" i="1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0" i="1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8</xdr:col>
      <xdr:colOff>228600</xdr:colOff>
      <xdr:row>13</xdr:row>
      <xdr:rowOff>466725</xdr:rowOff>
    </xdr:from>
    <xdr:to>
      <xdr:col>9</xdr:col>
      <xdr:colOff>466726</xdr:colOff>
      <xdr:row>16</xdr:row>
      <xdr:rowOff>66675</xdr:rowOff>
    </xdr:to>
    <xdr:sp macro="" textlink="">
      <xdr:nvSpPr>
        <xdr:cNvPr id="5" name="TextBox 4" descr="Address&#10;City, State, ZIP&#10;&#10;Phone&#10;FAX&#10;Email&#10;Web"/>
        <xdr:cNvSpPr txBox="1"/>
      </xdr:nvSpPr>
      <xdr:spPr>
        <a:xfrm>
          <a:off x="8763000" y="6381750"/>
          <a:ext cx="1419226" cy="1428750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endParaRPr lang="en-US" sz="1100"/>
        </a:p>
        <a:p>
          <a:pPr algn="ctr"/>
          <a:r>
            <a:rPr lang="en-US" sz="1100" i="1">
              <a:solidFill>
                <a:srgbClr val="7030A0"/>
              </a:solidFill>
            </a:rPr>
            <a:t>Mary Elizabeth Ministry</a:t>
          </a:r>
        </a:p>
        <a:p>
          <a:pPr algn="ctr"/>
          <a:r>
            <a:rPr lang="en-US" sz="1100" i="1">
              <a:solidFill>
                <a:srgbClr val="C17529"/>
              </a:solidFill>
            </a:rPr>
            <a:t>"For with God</a:t>
          </a:r>
        </a:p>
        <a:p>
          <a:pPr algn="ctr"/>
          <a:r>
            <a:rPr lang="en-US" sz="1100" i="1">
              <a:solidFill>
                <a:srgbClr val="C17529"/>
              </a:solidFill>
            </a:rPr>
            <a:t>all things are possible"</a:t>
          </a:r>
        </a:p>
        <a:p>
          <a:endParaRPr lang="en-US" sz="1100"/>
        </a:p>
      </xdr:txBody>
    </xdr:sp>
    <xdr:clientData/>
  </xdr:twoCellAnchor>
  <xdr:twoCellAnchor>
    <xdr:from>
      <xdr:col>8</xdr:col>
      <xdr:colOff>306351</xdr:colOff>
      <xdr:row>12</xdr:row>
      <xdr:rowOff>106769</xdr:rowOff>
    </xdr:from>
    <xdr:to>
      <xdr:col>9</xdr:col>
      <xdr:colOff>97237</xdr:colOff>
      <xdr:row>14</xdr:row>
      <xdr:rowOff>67693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840751" y="5831294"/>
          <a:ext cx="971986" cy="970574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304800</xdr:colOff>
      <xdr:row>5</xdr:row>
      <xdr:rowOff>304800</xdr:rowOff>
    </xdr:to>
    <xdr:sp macro="" textlink="">
      <xdr:nvSpPr>
        <xdr:cNvPr id="4101" name="AutoShape 5" descr="data:image/jpeg;base64,/9j/4AAQSkZJRgABAQAAAQABAAD/2wCEAAkGBxQSEhUUEhQUFBUXFxUVFxUYFxQUFBUUFxQWFxcUFBQYHCggGBolHRQUITEhJSkrLi4uFx8zODMsNygtLisBCgoKDg0OFxAQGiwkHSQsLCwsLCwsLCwsLCwsLCwsLCwsLCwsLCwsLCwsLCwsLCwsLCwsLCwsLCwsLCwsLCwsLP/AABEIALEBHAMBIgACEQEDEQH/xAAcAAABBQEBAQAAAAAAAAAAAAAEAQIDBQYABwj/xAA8EAABAwIDBgMGBAUDBQAAAAABAAIDBBEFITEGEkFRYXEigZETMqGxwfAUQmLRByNScuFTgvEVQ3OS0v/EABkBAAMBAQEAAAAAAAAAAAAAAAECAwAEBf/EACMRAAMBAAIDAAICAwAAAAAAAAABAhEDIRIxQSJRE3EyQmH/2gAMAwEAAhEDEQA/ANbTsyREaa1thZTR5LjSHOAUoCiYdVKEyAc1c7kuB5JXBEwwDO6kHwKYw/MqQCwQMI3ly+8052Sa0fFLNIAM+9/osYUlB1VYG5DxH4BMlqC7TIfE/sg5G8FOr/QUhM3m7jdEsFgmQs4pKiRT9dhIaqW6DJSyOTUm6FCEKVhsowU9qBgpj0U1yDj0zRDZE6AHxLpHIUz8kjSSn8gYSOcpaZ5UbU4OQ0xatmyQkspcckjc1MWhou4gAZknID1T+WgGRQHmi/wjXt3ZAHA8D8xyVLUbU0UZs+qgB5GRl/S6fT7UUchtHUQvPJsjSfQG6KeGwNpqQwP3b3afdPHsequGPQ9NIJW8+IPVTQFKun0Kzvw/EZLt1FgIN0wLt3iraFM5OSBOsiEYuK4rljGetonMFkl0rRklMOIzTgkHVdZEw5qUpHNyCULGELbJ1ykIy7FQyT3yb5n9kG8MSyVAGQFz8B3QMhucz+3kpgMkBK+zlGq0KDrCyEDblSsfcJDkgzHOdZAzyqWV6EepthQ0pFySyAw4lJGlDUTBASsY5jrqeOAnVEQQgKY2GpA01KdLQEUcYCkASNnZxOWRJ+qpMc2xpoBZpbLJ/Qwg2IOYc4ZAed+idcbY3gy8To2/t/heVz7XVUj95paxrb2G6HX1A375HInSyq6rHqt4znkAOXhs29rW90BMuJfQ+CN7tdt3HSMLYS2SbQDUMIOftAMwdcl4/i2N1NUS6omkf+km0Y7MGQ9FYmh3ib9AT5Kqq4rEi2ivCS9CuSrkZwOXJaX+HcF6kOysMuF8+SoJ9O2h6cit9/DWjs1rjxcTqNNNLX4FHlr8GCJ2j3HZ/JoCsIcnEcifmhMGGQRej3d1zL0Tfsnq5t1qzsE/jJVjjE9m2VFG6xRujI07HbwulKraSqta6sQb5hUmtMcUgSlImCZ+6fHyUYUzSlRh37JzRkkDkoaiYaB805wAFyfNNknDBc+Q5oU3fm7IcBw80rrDHTSF+Qybx5n9k5jAAndAkUmzDXuVXVHNHvcq6U+JK2MgqB2SdIUyEZJJDZBswPMUOSpZHJgCQYanAJbKWOPusYdSwbyNrKhkDA6Q2B91oHiPYKana1jS52TRmfvisdi0T6iUylxHBreDW8AqJdFOPj83/wACanHJJLhgEbeh8ZHV3Dy9VTStfnmBfub91PG1zcnDzGhVtR2IsQETtmZldIyFVRudq82OtvCLciBqoG4Yxvu3J6An4r0H8Cwj3QnswmI6tTdityeefg3aBthqeJ+GiYMPPLivS5qRjW2DfvoqmXDr+IjM6DkEdaB4pmWo8LJu7lc/t99FRYnh9jkNbr1qhwsCJ2WZWKxiABzx/SQR2P8Awm1om5T6PNq+DdJ6Eheo7CU+7SwON9L58iSMgvN8TPjJ4X+BXqX8NiJKANAzaHi/Z548ciE99yT41+T/AKPTMJfkjJZLOP3wVTgZ8IS4lV7spHQH79FBPEcrXZHXybxQQYVM+YFcSlfZhI32VnSVfBU5KVs1kU8NhpuqS6gw+e4zUVTO5riN3t1HNXVdAKRj/wDCcZdUCZRbXsoZatTdpD4Wv4jK50TPxxOTRfqdEBTRF5z0VvFAGi2iCpsDIdwnMm5+XZStA804KNxsUrAS2vZRTPHBJvGyi3roNmOe+wVdfNHVOiCYM0rHQbEMlDOUS0ZIKdyzMQOCe1qVjLo2Cl5oJBIIKe6OELWgl5AAzJNsh3QeK4vDSt3pHAX91o9955NCylRictU67jus4Rg5d3f1FUSS9lOPifJ/RZ4tjoeCGX3Bpw3uR6cVj6/GpgN4OsL2aLXJPIBadlACLKixjB3lzC0e7vXbpvXGrT9FXjSb7L3sTkDcK2jDyGSixNrGxHLUH5haiKO2YWJfREMa10bxuOMhlfcO91w9my+oO9oOS1WEyHcaHa2HdNywpfQOHkql2W1NKeKtYLFCU0N1JMzd0U0UbTCHgd0v4e/c/LkghOURS1OfvBHTeiycyzbBeebVxWnvwc0j6rema6xe1Z8QceF/ktb6BC7PL8XisT3+q9A/glV3E8BF7EPFho14IOfUtWBxZ93Far+CdduV0jP9SM2z/Mxwtl2c70VpWoi8/kPaMPbui3K49Cs/tFPaqtzY35u/ZaKPU9/nmsXtdLatHWJpHk51/p6rn5FiZztfmwxs6LZPdUkcqJEqgmHC1cckNI7NRtnumynJNouFvh9Sr+KpFhdYujlsVcsq8k8VgrRlBKSbDNWdFh/F/op6OgbGOZRwSzH7GbGNjAIsnufr98Upb98VE48EzYorDcpHuF81LEyyjljut8ARjMp7YkrY0kr1sCCVDuCHaM1LK66iDbpBw3f8KCjYXEo2OK4SyObE0ucQ1oFySQABzJ4Js0w6mgAWe2w21goQWA+0nIyjGYb+p/IdNT8Vntqdv3G8dHcDQzEZn/xg/M/5XnT4ySS4kkm5JJJJ5knVWiF9HXGy4pcWfWVO9JvOdmbnQAaNaOAz0W2pMrLG7JU/jcegHzW4pmKfLm4ju4E1PZcUZBCmlhJTaCNWFQ8Mbc5JoZqXZTyssLH0CSipd510BUVL5XeAeHnzWmwKmsBzW8vJmc4tLSnorNVDjlX7IXPIkDoNSei17HgCyzO1tAJGWI8JDmkjJwDuRV8RDvTBt2qmJDhFePhlnbnYG4C0+A4zDU2FgHa8/O4VLSYLNC/eha1z93cbJfcIadbg6f7bopuBugdHuB1mtaHO0u8fmtyIuPRHkiVOyJxXbrxtGomg9mbi9j81jNsJFtDJvMF1gttXnIDUlc7OmTzyvkuUVsjXGnqoZW5brwT2ORHoSio8Oba7syeChp6Zofugg2JVVaSJPipUqZ9E0kwcLjiAfLl8QsvttTXe2Qast/6m9/nfyU+xdaH07Mz4RuG/MAX/AH8la4tCH5EXBFip8na0jzz48hlIzopi7JCsbuOLDq3Ly4H0T97JcoqCI5c1L7VAhycHomaDWSWRTJslVsKID0BWjQFycwKEnNSh9lcmc5+VhqnsjtmV0Ivmlkeil9AOGaXduoGuU8b9VjEc7rBAk3U8+ZTbgDPK33kg+xkDuiUzIgFWYltBFEDY75H5W5+p0WPxHaCee7b+zYdWt1Pd2pWUlo4qo1GNbWRQ3az+Y8flB8IP63fQXXn2N4pNVG8rshowZMHlxPUohlKkkpUyaOqOGZKJ0CYYVaSw2Q5an0ZyG7Liznjt9Vs6VqwuFzezkB4HI+a3dGbhStdlI9FzSWCbiY3mkKJr90XVTJiYLvE7d6HL0OiOdAxt9DZp5GBojDbjJzSLhzeYI0K0lBXthZvvcAOZQmEPjNzcEq4pqQPYWuCMyaq+NBctW10QkY4OBANwbjyXQPDxY6FBSUAij3WE25JcOen8mvZPE08CWU24bWBaiXsbbSykByQ08ifSbnQCrAaDZee447flJ4DwjvxWt2gxDcacxfvp1K81rcZEjiyI3Iyc8aDmG8z1Uq7ZaMlax01gDmN4Zf2/5VJLA5pBF78+qsaDNhFrnNR4vMIox/Vw7lZtLFPs11q8maf+H2OgPdETbePkH5WPbh5lenGQPHIjhy6LwPD2GMAg2Izv+rVei7MbRl+62R3isBc8eQP0Kz7WE6n+SVvsK2n/AJckb+DrsPfVv1Q0b7hW21lP7elfuC7gN5o/U3O1/ULHYRXbzbG4I1B1Uan6cq66NA46JAomyXC4OSDBTXWXb6gaU+6wML0VCd+Ius9VMqxoWDqG3+ZVJVz1wzEno1v7XXYuFk8PRIKnL5JXTDX1XiWKbQVgNnSOH9pLfkqN9dPO4NdI93dzjYeqP8Zmke/y4vFGPG9re7h8lXTbXQA5OLv7QT8V5ph1Dpkr6nowkxHQuBfS8qNtBnuQvd33Wj4XyVbJjjp/fdb9Og/ynClCbLh4PBborMTPw72IIyQ76WxTXMdH7unJca8HXIpcK6TMaFFUEIV9cBxQNdX8BqcgtjG1BE7boGRiMY+4UcjVkAE3VcYPjfsyGSXtwdy6FVpCkpaS7xvDLnw80WBG4gqw8XbmFDV0ocMxdQYbh7oxdou0/lHDqFc04Dko/wB6MyykdGbsu09FoMExySLKUF7f6gLkdwNUayAXIITpaMNF2p10UrlVLxpFm6tbK3wkEFNpm2KpaA7pI5lW7H2Q3SHj49FiJckBiNY2NrnuNmtBJJ4AJJKmy8z262kE94I3eAHxOGjiNAObQfVOhK6K3aHaVlTLutuW53OYB6AHgqCFns3kDR2YPVV7sjnkQrChxJvuyWLT9hFzi6OdcmvstaJ7WtffnlzGV1n66r9pJc6DIfUq9xFl47NdZp9SLAa+SqIMPdrbLmpw122G5beIPoX3yKuYiGjk4KrwyK3fQfutPFugC480j5PF+t0tD/Zpdm8V327j73A46W4KpxXCg2QlvhN7gjkVSz1xY8Pbwv8AZWjo8WjqRcOG8BYtvmP3HVCdc6Dm4t/JFdBVlmUg/wBw08xwR8LwdCuqadtvrlZVgj3Ddjj6ZHulwgky4Y7mlDigYa9rjY5H4Hsi2yIZhsN/7Np1CHmw2J2rfojGMUzWL0ERMBtJsA2cXieGu5OFwfMaLBu2UmpHH2rMicntzbbvw46r33cCgmpQ4EEXB4aj0Wa0aax6eP0bAFaQtWlxPZFhN4v5Z5flPlwWelp3wm0rS3keB7FRqWjsi5r0ERxogQhDwyqf2oSjNDH0gKAq8OarF1SAhJqkINi4zK4ngpIPs3bp9R6LKmKWOT+be/A/l8l6jD4/cbfqch5IbEMFMjSHsFul/W6eW8Fqd7MlSz5InfVdUU5gkLD5HmERHIg0UmgglaLCi14FrX4g8u3JZ6FhcbDVaLDWNya4Wdy+oKWhzVYfGGizDb9JzHlxCL/6a553hZp5jj3uq2gpQDe58yT81pKPJGeyVPO0VRpJW+8AbcR+xVZiGL7h3Cw3+fZbIm6y21dOA3f4g+oPD75JnPRlyN+ypnxVsbd9/hHxUDNqwfdY497BZKtndK/xXAByade5HNWFOGsbcpMwsn12HYliEkws47rT+Uce54qubhjTwSR1Bkdlk3h16q6p4skGw4jN1mBscLFvnofVY/F8MdC62rTofoeq9YkhCo8aw8PYQf8Ag808cjTI8vDNrr2YKiqZGiwzHIq7ixFzhZzPSyFgprGx1BsrSmgCesfw5+OaX0QzPd7rQ3rxStgkPvPcjWNUrWKWJHQkAiiHG57klPbEG6ZdkZuJfYLBIfxkoFg93rfhbimGvl/qv5BEfh7p7aJHTNlc6pf09FNHis7RYEEdRf43RwoV34JHoR9nsDXdUTAy/FUkU5cVfULVaXpytYENp1K2BTsanqmCA/sRyQlXhTJAQQCDwOYVg94UInCOBwweObJPZd0GYGrf/lYyavLCWuBa4ag5Fe3GcLJ7a4bBMzxM/maNcMiPPko3xr2jp4uSt8X2Yqho5pswLN5nK/YK2hwBrRvSO3jyvYI8OuB4rWABsAL21SxyRDW3c5n4qSlaXrfgtHHG0cv7Rf5IsRB4yv2It80E2uaDwI4WRdPVg6A+hCpKJ0med7d4eQ5paM7/AAWYYXNyIK9K2lw58xbuMc7xZkC9u5Qh2elaB/KcfJBg1fsx1JVFjg4g245cFrKCoZMBo63qChanC5f9N1+W6Qgo8DqGuDmMcCOIt8RxCRzpRXhvKCQNyVxFKsbRYi5tmysLDpf8t+/BaOmqEUsBU72W7X5ZlVUx9u6/5R7o5/qKirqne8DTl+Y8P7U5kwAyQdfAJZ2V+LYHHJqLO4OGqxuMYDPcBtnMHLInuCvRN+6b7IFbQp4eb00L2e8xw8ijW1zhkGnubhbh1EOShdh7eSVyP5IyIkkdxA8lFNBJbmta/Cm8kNNh5bpn0Q8WbyR53W0rmv3iNde6npwtTVUocCCFnpqYxu6cEyr4Dx+k0UaIbEkp80axiUBAIlzYrlEMjLuyPhprIgbAo6VEMpUfHAp2RBHBGysNKmGlVy2FTfhVvEXQ+i1WiopLLOUyvKQ6KsEaRbicKGWq5JIwiI4gqiABje/oEVBQga5o5kafZFI2kLIQEJV07Xggi4zCMqpN0IJizCl9PPsXwp1O9wDXvac2m5PkbJtNSuP/AGw3qbLeYrS77OozCze6QoVCTOhczpd+yKnpeZ9Mlc0FC3kgIleYeE0k7bDYaRoGQTZYQEbEhq0KudEkAOjaciAkFAw8AkKnjkQGwEnwxpFi0OCxW0GGPpHCSK5i/M3M7o47vJei+16KGqiZI0te3I6oNahotyzz+CYEAjQ5hTMcm4ps3NTkup/5sRJO5fxs/tvqOiAZV2NnAtPJwLT8VzucO2XNLUW8b0VG5VEdQjIp0DOSyBXWQzZFO16cm0P3VHIwJ2+mOciAqcQpAcxkVnMVp7tN9Vral+SzWLSaqVIrHZUUD8lZ08Rf2VVg0W+TyufmtRA2wsAsLTHQU4ARIamNunJiY5SMUSkjRAFRNCNjZkh6dl1ZRsyTpE6AqUK6pQqijbnZXtKxGRaDqdqMjaoYGIloVUTY5cuTZTknAAVT7uTWpkhzKQOUyudBIzCpMTo7G4Vs19kLVXdkg+0KumUsAzV/h8eSGpaHiVbQR2CEoNPSZgTahl08JXKpMqJY7JGBHTRobdskKaKHWTHzDRRTEp1NCsbBXM3kNLhofk4AjkQD81YmwSPksthgCLZ6D/Tb6ILENmGaxHcPLVv7hX0cySan3swSEPFBV0n7MC8OjcWvFiPu46Jwqlpatm4c8/ioxBHJ7zGnyF/VT8S38v7RQOqVC+rsrWv2WJzhfb9Lsx5FUdbs3UAEtLHdLkH5JXNIpNw/pBV1uSzNa90jw1vFSYhM6JxbIC08j9DxT8AYXyF5GWg81PtlniXRc4RhYiYG6nieZ4q5jpgkgjVlBEqJHJTAjSpjqdWb2AIaQrNARXPYpoWLni5U8DFkhmFUsd1bxR5IaliyRzVVIjTKahV9RpFyEgos4UQFy5VQjHBRT6LlyLAvZVvTSuXJCw9NK5csIFRIlcuRQBzdU4JFyZCjJUC5cuQY6IJOH3xRUOi5cggjJlDMuXLMZDYUcxcuQBRS4zqoaRcuSP2H/UuodELU8Vy5UJ/Tz7bj8ncqDDtB5Lly5a/yOuf8S/p9FYwrlyoidDahBSLlyFGkg4oulXLlkFlzSaFErlyqiJ//2Q==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9715500" y="1876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257176</xdr:colOff>
      <xdr:row>7</xdr:row>
      <xdr:rowOff>257176</xdr:rowOff>
    </xdr:from>
    <xdr:to>
      <xdr:col>11</xdr:col>
      <xdr:colOff>123825</xdr:colOff>
      <xdr:row>11</xdr:row>
      <xdr:rowOff>552450</xdr:rowOff>
    </xdr:to>
    <xdr:pic>
      <xdr:nvPicPr>
        <xdr:cNvPr id="11" name="Picture 10" descr="http://www.hdwallpapers3d.com/wp-content/uploads/2013/05/Cute-Baby-babies-8777313-500-500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6" y="3143251"/>
          <a:ext cx="2314574" cy="2314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114300</xdr:colOff>
      <xdr:row>3</xdr:row>
      <xdr:rowOff>47625</xdr:rowOff>
    </xdr:from>
    <xdr:to>
      <xdr:col>11</xdr:col>
      <xdr:colOff>47625</xdr:colOff>
      <xdr:row>7</xdr:row>
      <xdr:rowOff>438150</xdr:rowOff>
    </xdr:to>
    <xdr:pic>
      <xdr:nvPicPr>
        <xdr:cNvPr id="17" name="Picture 16" descr="http://www.theecofriendlykid.com/wp-content/uploads/19_6_orig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1400175"/>
          <a:ext cx="238125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878416</xdr:colOff>
      <xdr:row>13</xdr:row>
      <xdr:rowOff>190500</xdr:rowOff>
    </xdr:from>
    <xdr:to>
      <xdr:col>11</xdr:col>
      <xdr:colOff>358413</xdr:colOff>
      <xdr:row>18</xdr:row>
      <xdr:rowOff>48535</xdr:rowOff>
    </xdr:to>
    <xdr:sp macro="" textlink="">
      <xdr:nvSpPr>
        <xdr:cNvPr id="4" name="TextBox 3" descr="Address&#10;City, State, ZIP&#10;&#10;Phone&#10;FAX&#10;Email&#10;Web"/>
        <xdr:cNvSpPr txBox="1"/>
      </xdr:nvSpPr>
      <xdr:spPr>
        <a:xfrm>
          <a:off x="9440333" y="609600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endParaRPr lang="en-US" sz="1100"/>
        </a:p>
        <a:p>
          <a:pPr algn="r"/>
          <a:r>
            <a:rPr lang="en-US" sz="1100" i="1">
              <a:solidFill>
                <a:srgbClr val="7030A0"/>
              </a:solidFill>
            </a:rPr>
            <a:t>Mary Elizabeth Ministry</a:t>
          </a:r>
        </a:p>
        <a:p>
          <a:pPr algn="ctr"/>
          <a:r>
            <a:rPr lang="en-US" sz="1100" i="1">
              <a:solidFill>
                <a:srgbClr val="C17529"/>
              </a:solidFill>
            </a:rPr>
            <a:t>"For with God</a:t>
          </a:r>
        </a:p>
        <a:p>
          <a:pPr algn="ctr"/>
          <a:r>
            <a:rPr lang="en-US" sz="1100" i="1">
              <a:solidFill>
                <a:srgbClr val="C17529"/>
              </a:solidFill>
            </a:rPr>
            <a:t>all things are possible"</a:t>
          </a:r>
        </a:p>
        <a:p>
          <a:endParaRPr lang="en-US" sz="1100"/>
        </a:p>
      </xdr:txBody>
    </xdr:sp>
    <xdr:clientData/>
  </xdr:twoCellAnchor>
  <xdr:twoCellAnchor>
    <xdr:from>
      <xdr:col>8</xdr:col>
      <xdr:colOff>1118660</xdr:colOff>
      <xdr:row>13</xdr:row>
      <xdr:rowOff>134408</xdr:rowOff>
    </xdr:from>
    <xdr:to>
      <xdr:col>9</xdr:col>
      <xdr:colOff>909301</xdr:colOff>
      <xdr:row>15</xdr:row>
      <xdr:rowOff>97793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80577" y="6039908"/>
          <a:ext cx="975974" cy="968802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254002</xdr:colOff>
      <xdr:row>3</xdr:row>
      <xdr:rowOff>31750</xdr:rowOff>
    </xdr:from>
    <xdr:to>
      <xdr:col>11</xdr:col>
      <xdr:colOff>920751</xdr:colOff>
      <xdr:row>7</xdr:row>
      <xdr:rowOff>687916</xdr:rowOff>
    </xdr:to>
    <xdr:pic>
      <xdr:nvPicPr>
        <xdr:cNvPr id="7" name="Picture 6" descr="http://cdn.madamenoire.com/wp-content/uploads/2012/06/cute-black-baby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5919" y="1386417"/>
          <a:ext cx="3122082" cy="2190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698502</xdr:colOff>
      <xdr:row>9</xdr:row>
      <xdr:rowOff>264583</xdr:rowOff>
    </xdr:from>
    <xdr:to>
      <xdr:col>10</xdr:col>
      <xdr:colOff>40730</xdr:colOff>
      <xdr:row>12</xdr:row>
      <xdr:rowOff>52917</xdr:rowOff>
    </xdr:to>
    <xdr:pic>
      <xdr:nvPicPr>
        <xdr:cNvPr id="9" name="Picture 8" descr="http://www.toysrus.com/graphics/product_images/pG01-3724334dt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0419" y="4159250"/>
          <a:ext cx="1617644" cy="1608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409575</xdr:colOff>
      <xdr:row>13</xdr:row>
      <xdr:rowOff>266700</xdr:rowOff>
    </xdr:from>
    <xdr:to>
      <xdr:col>1</xdr:col>
      <xdr:colOff>733425</xdr:colOff>
      <xdr:row>13</xdr:row>
      <xdr:rowOff>609600</xdr:rowOff>
    </xdr:to>
    <xdr:pic>
      <xdr:nvPicPr>
        <xdr:cNvPr id="8" name="Picture 7" descr="http://www.dritaislame.al/wp-content/uploads/2011/12/America-Flag-waving-in-wind.jpg"/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r="24999" b="12003"/>
        <a:stretch/>
      </xdr:blipFill>
      <xdr:spPr bwMode="auto">
        <a:xfrm>
          <a:off x="676275" y="6181725"/>
          <a:ext cx="323850" cy="342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8</xdr:row>
      <xdr:rowOff>184170</xdr:rowOff>
    </xdr:from>
    <xdr:to>
      <xdr:col>9</xdr:col>
      <xdr:colOff>1035035</xdr:colOff>
      <xdr:row>11</xdr:row>
      <xdr:rowOff>236354</xdr:rowOff>
    </xdr:to>
    <xdr:pic>
      <xdr:nvPicPr>
        <xdr:cNvPr id="6" name="Picture 5" descr="Fresh vine ripened tomatoes. To change this picture, right-click picture and then click Change Picture.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70858" y="3889395"/>
          <a:ext cx="1879677" cy="1252334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238124</xdr:colOff>
      <xdr:row>11</xdr:row>
      <xdr:rowOff>638175</xdr:rowOff>
    </xdr:from>
    <xdr:to>
      <xdr:col>9</xdr:col>
      <xdr:colOff>1085849</xdr:colOff>
      <xdr:row>16</xdr:row>
      <xdr:rowOff>66674</xdr:rowOff>
    </xdr:to>
    <xdr:grpSp>
      <xdr:nvGrpSpPr>
        <xdr:cNvPr id="3" name="Group 2"/>
        <xdr:cNvGrpSpPr/>
      </xdr:nvGrpSpPr>
      <xdr:grpSpPr>
        <a:xfrm>
          <a:off x="8772524" y="5543550"/>
          <a:ext cx="2028825" cy="2266949"/>
          <a:chOff x="8810569" y="5347337"/>
          <a:chExt cx="1935330" cy="2480585"/>
        </a:xfrm>
      </xdr:grpSpPr>
      <xdr:sp macro="" textlink="">
        <xdr:nvSpPr>
          <xdr:cNvPr id="8" name="TextBox 7" descr="Address&#10;City, State, ZIP&#10;&#10;Phone&#10;FAX&#10;Email&#10;Web"/>
          <xdr:cNvSpPr txBox="1"/>
        </xdr:nvSpPr>
        <xdr:spPr>
          <a:xfrm>
            <a:off x="8810569" y="5347337"/>
            <a:ext cx="1935330" cy="2480585"/>
          </a:xfrm>
          <a:prstGeom prst="rect">
            <a:avLst/>
          </a:prstGeom>
          <a:noFill/>
          <a:ln w="38100" cap="sq">
            <a:solidFill>
              <a:schemeClr val="accent5">
                <a:lumMod val="20000"/>
                <a:lumOff val="80000"/>
              </a:schemeClr>
            </a:solidFill>
            <a:miter lim="800000"/>
          </a:ln>
          <a:effectLst/>
          <a:scene3d>
            <a:camera prst="orthographicFront"/>
            <a:lightRig rig="twoPt" dir="t">
              <a:rot lat="0" lon="0" rev="7200000"/>
            </a:lightRig>
          </a:scene3d>
          <a:sp3d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182880" rIns="182880" rtlCol="0" anchor="ctr" anchorCtr="0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pPr algn="ctr" eaLnBrk="1" fontAlgn="auto" latinLnBrk="0" hangingPunct="1"/>
            <a:r>
              <a:rPr lang="en-US" sz="1100" b="0" i="1" baseline="0">
                <a:solidFill>
                  <a:srgbClr val="7030A0"/>
                </a:solidFill>
                <a:latin typeface="+mn-lt"/>
                <a:ea typeface="+mn-ea"/>
                <a:cs typeface="+mn-cs"/>
              </a:rPr>
              <a:t>Mary Elizabeth Ministry</a:t>
            </a:r>
            <a:endParaRPr lang="en-US" sz="1200" i="1">
              <a:solidFill>
                <a:srgbClr val="7030A0"/>
              </a:solidFill>
            </a:endParaRPr>
          </a:p>
          <a:p>
            <a:pPr algn="ctr" eaLnBrk="1" fontAlgn="auto" latinLnBrk="0" hangingPunct="1"/>
            <a:r>
              <a:rPr lang="en-US" sz="1100" b="0" i="1" baseline="0">
                <a:solidFill>
                  <a:srgbClr val="C17529"/>
                </a:solidFill>
                <a:latin typeface="+mn-lt"/>
                <a:ea typeface="+mn-ea"/>
                <a:cs typeface="+mn-cs"/>
              </a:rPr>
              <a:t>"For with God</a:t>
            </a:r>
            <a:endParaRPr lang="en-US" sz="1200" i="1">
              <a:solidFill>
                <a:srgbClr val="C17529"/>
              </a:solidFill>
            </a:endParaRPr>
          </a:p>
          <a:p>
            <a:pPr algn="ctr" eaLnBrk="1" fontAlgn="auto" latinLnBrk="0" hangingPunct="1"/>
            <a:r>
              <a:rPr lang="en-US" sz="1100" b="0" i="1" baseline="0">
                <a:solidFill>
                  <a:srgbClr val="C17529"/>
                </a:solidFill>
                <a:latin typeface="+mn-lt"/>
                <a:ea typeface="+mn-ea"/>
                <a:cs typeface="+mn-cs"/>
              </a:rPr>
              <a:t>all things are possible"</a:t>
            </a:r>
            <a:endParaRPr lang="en-US" sz="1200" i="1">
              <a:solidFill>
                <a:srgbClr val="C17529"/>
              </a:solidFill>
            </a:endParaRPr>
          </a:p>
          <a:p>
            <a:endParaRPr lang="en-US" sz="1100"/>
          </a:p>
        </xdr:txBody>
      </xdr:sp>
      <xdr:pic>
        <xdr:nvPicPr>
          <xdr:cNvPr id="5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8924925" y="5743575"/>
            <a:ext cx="975974" cy="968802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</xdr:pic>
    </xdr:grpSp>
    <xdr:clientData/>
  </xdr:twoCellAnchor>
  <xdr:twoCellAnchor editAs="oneCell">
    <xdr:from>
      <xdr:col>8</xdr:col>
      <xdr:colOff>257175</xdr:colOff>
      <xdr:row>3</xdr:row>
      <xdr:rowOff>95250</xdr:rowOff>
    </xdr:from>
    <xdr:to>
      <xdr:col>10</xdr:col>
      <xdr:colOff>178254</xdr:colOff>
      <xdr:row>7</xdr:row>
      <xdr:rowOff>476250</xdr:rowOff>
    </xdr:to>
    <xdr:pic>
      <xdr:nvPicPr>
        <xdr:cNvPr id="7" name="Picture 6" descr="https://encrypted-tbn3.gstatic.com/images?q=tbn:ANd9GcSnXRAdjzZeaOku0ehSqStqrM26yDyjBBuUwDCVu7BnH_XYhPKfv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1447800"/>
          <a:ext cx="2188029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361950</xdr:colOff>
      <xdr:row>11</xdr:row>
      <xdr:rowOff>733425</xdr:rowOff>
    </xdr:from>
    <xdr:to>
      <xdr:col>10</xdr:col>
      <xdr:colOff>30330</xdr:colOff>
      <xdr:row>15</xdr:row>
      <xdr:rowOff>794660</xdr:rowOff>
    </xdr:to>
    <xdr:grpSp>
      <xdr:nvGrpSpPr>
        <xdr:cNvPr id="3" name="Group 2"/>
        <xdr:cNvGrpSpPr/>
      </xdr:nvGrpSpPr>
      <xdr:grpSpPr>
        <a:xfrm>
          <a:off x="8896350" y="5638800"/>
          <a:ext cx="1935330" cy="2080535"/>
          <a:chOff x="8848725" y="5381625"/>
          <a:chExt cx="1935330" cy="2080535"/>
        </a:xfrm>
      </xdr:grpSpPr>
      <xdr:sp macro="" textlink="">
        <xdr:nvSpPr>
          <xdr:cNvPr id="8" name="TextBox 7" descr="Address&#10;City, State, ZIP&#10;&#10;Phone&#10;FAX&#10;Email&#10;Web"/>
          <xdr:cNvSpPr txBox="1"/>
        </xdr:nvSpPr>
        <xdr:spPr>
          <a:xfrm>
            <a:off x="8848725" y="5381625"/>
            <a:ext cx="1935330" cy="2080535"/>
          </a:xfrm>
          <a:prstGeom prst="rect">
            <a:avLst/>
          </a:prstGeom>
          <a:noFill/>
          <a:ln w="38100" cap="sq">
            <a:solidFill>
              <a:schemeClr val="accent5">
                <a:lumMod val="20000"/>
                <a:lumOff val="80000"/>
              </a:schemeClr>
            </a:solidFill>
            <a:miter lim="800000"/>
          </a:ln>
          <a:effectLst/>
          <a:scene3d>
            <a:camera prst="orthographicFront"/>
            <a:lightRig rig="twoPt" dir="t">
              <a:rot lat="0" lon="0" rev="7200000"/>
            </a:lightRig>
          </a:scene3d>
          <a:sp3d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182880" rIns="182880" rtlCol="0" anchor="ctr" anchorCtr="0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  <a:p>
            <a:endParaRPr lang="en-US" sz="1100"/>
          </a:p>
          <a:p>
            <a:endParaRPr lang="en-US" sz="1100"/>
          </a:p>
          <a:p>
            <a:pPr algn="r"/>
            <a:r>
              <a:rPr lang="en-US" sz="1100" i="1">
                <a:solidFill>
                  <a:srgbClr val="7030A0"/>
                </a:solidFill>
              </a:rPr>
              <a:t>Mary Elizabeth Ministry</a:t>
            </a:r>
          </a:p>
          <a:p>
            <a:pPr algn="ctr"/>
            <a:r>
              <a:rPr lang="en-US" sz="1100" i="1">
                <a:solidFill>
                  <a:srgbClr val="C17529"/>
                </a:solidFill>
              </a:rPr>
              <a:t>"For with God</a:t>
            </a:r>
          </a:p>
          <a:p>
            <a:pPr algn="ctr"/>
            <a:r>
              <a:rPr lang="en-US" sz="1100" i="1">
                <a:solidFill>
                  <a:srgbClr val="C17529"/>
                </a:solidFill>
              </a:rPr>
              <a:t>all things are possible"</a:t>
            </a:r>
          </a:p>
          <a:p>
            <a:endParaRPr lang="en-US" sz="1100"/>
          </a:p>
        </xdr:txBody>
      </xdr:sp>
      <xdr:pic>
        <xdr:nvPicPr>
          <xdr:cNvPr id="11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8991600" y="5410200"/>
            <a:ext cx="975974" cy="968802"/>
          </a:xfrm>
          <a:prstGeom prst="rect">
            <a:avLst/>
          </a:prstGeom>
          <a:noFill/>
          <a:ln w="9525" algn="in">
            <a:noFill/>
            <a:miter lim="800000"/>
            <a:headEnd/>
            <a:tailEnd/>
          </a:ln>
          <a:effectLst/>
        </xdr:spPr>
      </xdr:pic>
    </xdr:grpSp>
    <xdr:clientData/>
  </xdr:twoCellAnchor>
  <xdr:twoCellAnchor editAs="oneCell">
    <xdr:from>
      <xdr:col>12</xdr:col>
      <xdr:colOff>38100</xdr:colOff>
      <xdr:row>5</xdr:row>
      <xdr:rowOff>28575</xdr:rowOff>
    </xdr:from>
    <xdr:to>
      <xdr:col>31</xdr:col>
      <xdr:colOff>342900</xdr:colOff>
      <xdr:row>24</xdr:row>
      <xdr:rowOff>171450</xdr:rowOff>
    </xdr:to>
    <xdr:sp macro="" textlink="">
      <xdr:nvSpPr>
        <xdr:cNvPr id="7182" name="AutoShape 14" descr="http://www.google.com/url?sa=i&amp;source=images&amp;cd=&amp;docid=KdsHa8wFu5pYLM&amp;tbnid=UJh1Z8OCRiChXM:&amp;ved=0CAUQjBwwADi6Ag&amp;url=http%3A%2F%2Fhugh.ncsmartstart.org%2Fwp-content%2Fuploads%2F2010%2F09%2F4differentbabieslyingdown.jpg&amp;ei=Yq1mUrbNBIWS9QTeqICICw&amp;psig=AFQjCNE9lYOs5h6_B1lGq7Q9wDUTuafNsQ&amp;ust=1382547170146309"/>
        <xdr:cNvSpPr>
          <a:spLocks noChangeAspect="1" noChangeArrowheads="1"/>
        </xdr:cNvSpPr>
      </xdr:nvSpPr>
      <xdr:spPr bwMode="auto">
        <a:xfrm>
          <a:off x="12030075" y="1905000"/>
          <a:ext cx="11563350" cy="764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66675</xdr:colOff>
      <xdr:row>7</xdr:row>
      <xdr:rowOff>590551</xdr:rowOff>
    </xdr:from>
    <xdr:to>
      <xdr:col>9</xdr:col>
      <xdr:colOff>1032604</xdr:colOff>
      <xdr:row>11</xdr:row>
      <xdr:rowOff>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075" y="3476626"/>
          <a:ext cx="2147029" cy="1428750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3</xdr:row>
      <xdr:rowOff>238125</xdr:rowOff>
    </xdr:from>
    <xdr:to>
      <xdr:col>9</xdr:col>
      <xdr:colOff>419100</xdr:colOff>
      <xdr:row>6</xdr:row>
      <xdr:rowOff>187117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3025" y="1590675"/>
          <a:ext cx="1171575" cy="129201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3</xdr:row>
      <xdr:rowOff>123825</xdr:rowOff>
    </xdr:from>
    <xdr:to>
      <xdr:col>9</xdr:col>
      <xdr:colOff>781050</xdr:colOff>
      <xdr:row>7</xdr:row>
      <xdr:rowOff>0</xdr:rowOff>
    </xdr:to>
    <xdr:pic>
      <xdr:nvPicPr>
        <xdr:cNvPr id="9" name="Picture 8" descr="https://encrypted-tbn1.gstatic.com/images?q=tbn:ANd9GcQfonA4hP4Wpz2U13TRy38GF7JXj7YulvgBB8VSZliIYolPR1GX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476375"/>
          <a:ext cx="175260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314326</xdr:colOff>
      <xdr:row>7</xdr:row>
      <xdr:rowOff>466725</xdr:rowOff>
    </xdr:from>
    <xdr:to>
      <xdr:col>9</xdr:col>
      <xdr:colOff>962026</xdr:colOff>
      <xdr:row>11</xdr:row>
      <xdr:rowOff>368083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6" y="3352800"/>
          <a:ext cx="1828800" cy="1920658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11</xdr:row>
      <xdr:rowOff>662800</xdr:rowOff>
    </xdr:from>
    <xdr:to>
      <xdr:col>10</xdr:col>
      <xdr:colOff>171450</xdr:colOff>
      <xdr:row>17</xdr:row>
      <xdr:rowOff>38100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05850" y="5568175"/>
          <a:ext cx="2266950" cy="24328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2</xdr:row>
      <xdr:rowOff>666750</xdr:rowOff>
    </xdr:from>
    <xdr:to>
      <xdr:col>9</xdr:col>
      <xdr:colOff>714375</xdr:colOff>
      <xdr:row>7</xdr:row>
      <xdr:rowOff>309899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6350" y="1228725"/>
          <a:ext cx="1533525" cy="1967249"/>
        </a:xfrm>
        <a:prstGeom prst="rect">
          <a:avLst/>
        </a:prstGeom>
      </xdr:spPr>
    </xdr:pic>
    <xdr:clientData/>
  </xdr:twoCellAnchor>
  <xdr:twoCellAnchor>
    <xdr:from>
      <xdr:col>8</xdr:col>
      <xdr:colOff>285750</xdr:colOff>
      <xdr:row>11</xdr:row>
      <xdr:rowOff>723900</xdr:rowOff>
    </xdr:from>
    <xdr:to>
      <xdr:col>9</xdr:col>
      <xdr:colOff>1039980</xdr:colOff>
      <xdr:row>15</xdr:row>
      <xdr:rowOff>785135</xdr:rowOff>
    </xdr:to>
    <xdr:sp macro="" textlink="">
      <xdr:nvSpPr>
        <xdr:cNvPr id="9" name="TextBox 8" descr="Address&#10;City, State, ZIP&#10;&#10;Phone&#10;FAX&#10;Email&#10;Web"/>
        <xdr:cNvSpPr txBox="1"/>
      </xdr:nvSpPr>
      <xdr:spPr>
        <a:xfrm>
          <a:off x="8820150" y="562927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endParaRPr lang="en-US" sz="1100"/>
        </a:p>
        <a:p>
          <a:endParaRPr lang="en-US" sz="1100"/>
        </a:p>
        <a:p>
          <a:pPr algn="r"/>
          <a:r>
            <a:rPr lang="en-US" sz="1100" i="1">
              <a:solidFill>
                <a:srgbClr val="7030A0"/>
              </a:solidFill>
            </a:rPr>
            <a:t>Mary Elizabeth Ministry</a:t>
          </a:r>
        </a:p>
        <a:p>
          <a:pPr algn="ctr"/>
          <a:r>
            <a:rPr lang="en-US" sz="1100" i="1">
              <a:solidFill>
                <a:srgbClr val="C17529"/>
              </a:solidFill>
            </a:rPr>
            <a:t>"For with God</a:t>
          </a:r>
        </a:p>
        <a:p>
          <a:pPr algn="ctr"/>
          <a:r>
            <a:rPr lang="en-US" sz="1100" i="1">
              <a:solidFill>
                <a:srgbClr val="C17529"/>
              </a:solidFill>
            </a:rPr>
            <a:t>all things are possible"</a:t>
          </a:r>
        </a:p>
        <a:p>
          <a:endParaRPr lang="en-US" sz="1100"/>
        </a:p>
      </xdr:txBody>
    </xdr:sp>
    <xdr:clientData/>
  </xdr:twoCellAnchor>
  <xdr:twoCellAnchor>
    <xdr:from>
      <xdr:col>8</xdr:col>
      <xdr:colOff>371475</xdr:colOff>
      <xdr:row>11</xdr:row>
      <xdr:rowOff>742950</xdr:rowOff>
    </xdr:from>
    <xdr:to>
      <xdr:col>9</xdr:col>
      <xdr:colOff>166349</xdr:colOff>
      <xdr:row>13</xdr:row>
      <xdr:rowOff>702102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905875" y="5648325"/>
          <a:ext cx="975974" cy="968802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8</xdr:col>
      <xdr:colOff>381001</xdr:colOff>
      <xdr:row>7</xdr:row>
      <xdr:rowOff>742949</xdr:rowOff>
    </xdr:from>
    <xdr:to>
      <xdr:col>9</xdr:col>
      <xdr:colOff>1069207</xdr:colOff>
      <xdr:row>11</xdr:row>
      <xdr:rowOff>123824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1" y="3629024"/>
          <a:ext cx="1869306" cy="1400175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0" tint="-0.499984740745262"/>
    <pageSetUpPr fitToPage="1"/>
  </sheetPr>
  <dimension ref="A1:R20"/>
  <sheetViews>
    <sheetView showGridLines="0" workbookViewId="0">
      <selection activeCell="G11" sqref="G11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12.4414062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K1" s="8"/>
    </row>
    <row r="2" spans="1:18" ht="30" customHeight="1" x14ac:dyDescent="0.25">
      <c r="A2" s="10"/>
      <c r="B2" s="55" t="s">
        <v>24</v>
      </c>
      <c r="C2" s="55"/>
      <c r="D2" s="55"/>
      <c r="E2" s="55"/>
      <c r="F2" s="55"/>
      <c r="G2" s="55"/>
      <c r="H2" s="55"/>
      <c r="I2" s="55"/>
      <c r="J2" s="55"/>
      <c r="K2" s="9">
        <v>2015</v>
      </c>
    </row>
    <row r="3" spans="1:18" ht="62.25" customHeight="1" x14ac:dyDescent="0.25">
      <c r="A3"/>
      <c r="B3" s="54" t="str">
        <f>UPPER(TEXT(DATE(CalendarYear,1,1),"mmmm yyyy"))</f>
        <v>JANUARY 2015</v>
      </c>
      <c r="C3" s="54"/>
      <c r="D3" s="54"/>
      <c r="E3" s="54"/>
      <c r="F3" s="54"/>
      <c r="G3" s="12"/>
      <c r="H3" s="12"/>
    </row>
    <row r="4" spans="1:18" customFormat="1" ht="26.25" customHeight="1" x14ac:dyDescent="0.25">
      <c r="B4" s="17" t="s">
        <v>0</v>
      </c>
      <c r="C4" s="18" t="s">
        <v>1</v>
      </c>
      <c r="D4" s="18" t="s">
        <v>2</v>
      </c>
      <c r="E4" s="18" t="s">
        <v>3</v>
      </c>
      <c r="F4" s="18" t="s">
        <v>4</v>
      </c>
      <c r="G4" s="18" t="s">
        <v>5</v>
      </c>
      <c r="H4" s="19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20" t="str">
        <f>IF(DAY(JanSun1)=1,"",IF(AND(YEAR(JanSun1+1)=CalendarYear,MONTH(JanSun1+1)=1),JanSun1+1,""))</f>
        <v/>
      </c>
      <c r="C5" s="20" t="str">
        <f>IF(DAY(JanSun1)=1,"",IF(AND(YEAR(JanSun1+2)=CalendarYear,MONTH(JanSun1+2)=1),JanSun1+2,""))</f>
        <v/>
      </c>
      <c r="D5" s="20" t="str">
        <f>IF(DAY(JanSun1)=1,"",IF(AND(YEAR(JanSun1+3)=CalendarYear,MONTH(JanSun1+3)=1),JanSun1+3,""))</f>
        <v/>
      </c>
      <c r="E5" s="20">
        <f>IF(DAY(JanSun1)=1,"",IF(AND(YEAR(JanSun1+4)=CalendarYear,MONTH(JanSun1+4)=1),JanSun1+4,""))</f>
        <v>42005</v>
      </c>
      <c r="F5" s="20">
        <f>IF(DAY(JanSun1)=1,"",IF(AND(YEAR(JanSun1+5)=CalendarYear,MONTH(JanSun1+5)=1),JanSun1+5,""))</f>
        <v>42006</v>
      </c>
      <c r="G5" s="20">
        <f>IF(DAY(JanSun1)=1,"",IF(AND(YEAR(JanSun1+6)=CalendarYear,MONTH(JanSun1+6)=1),JanSun1+6,""))</f>
        <v>42007</v>
      </c>
      <c r="H5" s="20">
        <f>IF(DAY(JanSun1)=1,IF(AND(YEAR(JanSun1)=CalendarYear,MONTH(JanSun1)=1),JanSun1,""),IF(AND(YEAR(JanSun1+7)=CalendarYear,MONTH(JanSun1+7)=1),JanSun1+7,""))</f>
        <v>42008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21"/>
      <c r="C6" s="21"/>
      <c r="D6" s="21"/>
      <c r="E6" s="21"/>
      <c r="F6" s="21"/>
      <c r="G6" s="22"/>
      <c r="H6" s="22"/>
      <c r="I6" s="3"/>
    </row>
    <row r="7" spans="1:18" ht="15" customHeight="1" x14ac:dyDescent="0.25">
      <c r="A7"/>
      <c r="B7" s="20">
        <f>IF(DAY(JanSun1)=1,IF(AND(YEAR(JanSun1+1)=CalendarYear,MONTH(JanSun1+1)=1),JanSun1+1,""),IF(AND(YEAR(JanSun1+8)=CalendarYear,MONTH(JanSun1+8)=1),JanSun1+8,""))</f>
        <v>42009</v>
      </c>
      <c r="C7" s="20">
        <f>IF(DAY(JanSun1)=1,IF(AND(YEAR(JanSun1+2)=CalendarYear,MONTH(JanSun1+2)=1),JanSun1+2,""),IF(AND(YEAR(JanSun1+9)=CalendarYear,MONTH(JanSun1+9)=1),JanSun1+9,""))</f>
        <v>42010</v>
      </c>
      <c r="D7" s="20">
        <f>IF(DAY(JanSun1)=1,IF(AND(YEAR(JanSun1+3)=CalendarYear,MONTH(JanSun1+3)=1),JanSun1+3,""),IF(AND(YEAR(JanSun1+10)=CalendarYear,MONTH(JanSun1+10)=1),JanSun1+10,""))</f>
        <v>42011</v>
      </c>
      <c r="E7" s="20">
        <f>IF(DAY(JanSun1)=1,IF(AND(YEAR(JanSun1+4)=CalendarYear,MONTH(JanSun1+4)=1),JanSun1+4,""),IF(AND(YEAR(JanSun1+11)=CalendarYear,MONTH(JanSun1+11)=1),JanSun1+11,""))</f>
        <v>42012</v>
      </c>
      <c r="F7" s="20">
        <f>IF(DAY(JanSun1)=1,IF(AND(YEAR(JanSun1+5)=CalendarYear,MONTH(JanSun1+5)=1),JanSun1+5,""),IF(AND(YEAR(JanSun1+12)=CalendarYear,MONTH(JanSun1+12)=1),JanSun1+12,""))</f>
        <v>42013</v>
      </c>
      <c r="G7" s="20">
        <f>IF(DAY(JanSun1)=1,IF(AND(YEAR(JanSun1+6)=CalendarYear,MONTH(JanSun1+6)=1),JanSun1+6,""),IF(AND(YEAR(JanSun1+13)=CalendarYear,MONTH(JanSun1+13)=1),JanSun1+13,""))</f>
        <v>42014</v>
      </c>
      <c r="H7" s="20">
        <f>IF(DAY(JanSun1)=1,IF(AND(YEAR(JanSun1+7)=CalendarYear,MONTH(JanSun1+7)=1),JanSun1+7,""),IF(AND(YEAR(JanSun1+14)=CalendarYear,MONTH(JanSun1+14)=1),JanSun1+14,""))</f>
        <v>42015</v>
      </c>
      <c r="I7" s="3"/>
    </row>
    <row r="8" spans="1:18" ht="64.5" customHeight="1" x14ac:dyDescent="0.25">
      <c r="A8"/>
      <c r="B8" s="21"/>
      <c r="C8" s="21"/>
      <c r="D8" s="21"/>
      <c r="E8" s="21"/>
      <c r="F8" s="21"/>
      <c r="G8" s="22"/>
      <c r="H8" s="23" t="s">
        <v>15</v>
      </c>
      <c r="I8" s="3"/>
    </row>
    <row r="9" spans="1:18" ht="15" customHeight="1" x14ac:dyDescent="0.25">
      <c r="A9"/>
      <c r="B9" s="24">
        <f>IF(DAY(JanSun1)=1,IF(AND(YEAR(JanSun1+8)=CalendarYear,MONTH(JanSun1+8)=1),JanSun1+8,""),IF(AND(YEAR(JanSun1+15)=CalendarYear,MONTH(JanSun1+15)=1),JanSun1+15,""))</f>
        <v>42016</v>
      </c>
      <c r="C9" s="24">
        <f>IF(DAY(JanSun1)=1,IF(AND(YEAR(JanSun1+9)=CalendarYear,MONTH(JanSun1+9)=1),JanSun1+9,""),IF(AND(YEAR(JanSun1+16)=CalendarYear,MONTH(JanSun1+16)=1),JanSun1+16,""))</f>
        <v>42017</v>
      </c>
      <c r="D9" s="24">
        <f>IF(DAY(JanSun1)=1,IF(AND(YEAR(JanSun1+10)=CalendarYear,MONTH(JanSun1+10)=1),JanSun1+10,""),IF(AND(YEAR(JanSun1+17)=CalendarYear,MONTH(JanSun1+17)=1),JanSun1+17,""))</f>
        <v>42018</v>
      </c>
      <c r="E9" s="24">
        <f>IF(DAY(JanSun1)=1,IF(AND(YEAR(JanSun1+11)=CalendarYear,MONTH(JanSun1+11)=1),JanSun1+11,""),IF(AND(YEAR(JanSun1+18)=CalendarYear,MONTH(JanSun1+18)=1),JanSun1+18,""))</f>
        <v>42019</v>
      </c>
      <c r="F9" s="24">
        <f>IF(DAY(JanSun1)=1,IF(AND(YEAR(JanSun1+12)=CalendarYear,MONTH(JanSun1+12)=1),JanSun1+12,""),IF(AND(YEAR(JanSun1+19)=CalendarYear,MONTH(JanSun1+19)=1),JanSun1+19,""))</f>
        <v>42020</v>
      </c>
      <c r="G9" s="24">
        <f>IF(DAY(JanSun1)=1,IF(AND(YEAR(JanSun1+13)=CalendarYear,MONTH(JanSun1+13)=1),JanSun1+13,""),IF(AND(YEAR(JanSun1+20)=CalendarYear,MONTH(JanSun1+20)=1),JanSun1+20,""))</f>
        <v>42021</v>
      </c>
      <c r="H9" s="24">
        <f>IF(DAY(JanSun1)=1,IF(AND(YEAR(JanSun1+14)=CalendarYear,MONTH(JanSun1+14)=1),JanSun1+14,""),IF(AND(YEAR(JanSun1+21)=CalendarYear,MONTH(JanSun1+21)=1),JanSun1+21,""))</f>
        <v>42022</v>
      </c>
      <c r="I9" s="3"/>
    </row>
    <row r="10" spans="1:18" ht="64.5" customHeight="1" x14ac:dyDescent="0.25">
      <c r="A10"/>
      <c r="B10" s="21"/>
      <c r="C10" s="25" t="s">
        <v>11</v>
      </c>
      <c r="D10" s="21"/>
      <c r="E10" s="21"/>
      <c r="F10" s="21"/>
      <c r="G10" s="26" t="s">
        <v>28</v>
      </c>
      <c r="H10" s="22"/>
      <c r="I10" s="3"/>
    </row>
    <row r="11" spans="1:18" ht="15" customHeight="1" x14ac:dyDescent="0.25">
      <c r="A11"/>
      <c r="B11" s="24">
        <f>IF(DAY(JanSun1)=1,IF(AND(YEAR(JanSun1+15)=CalendarYear,MONTH(JanSun1+15)=1),JanSun1+15,""),IF(AND(YEAR(JanSun1+22)=CalendarYear,MONTH(JanSun1+22)=1),JanSun1+22,""))</f>
        <v>42023</v>
      </c>
      <c r="C11" s="24">
        <f>IF(DAY(JanSun1)=1,IF(AND(YEAR(JanSun1+16)=CalendarYear,MONTH(JanSun1+16)=1),JanSun1+16,""),IF(AND(YEAR(JanSun1+23)=CalendarYear,MONTH(JanSun1+23)=1),JanSun1+23,""))</f>
        <v>42024</v>
      </c>
      <c r="D11" s="24">
        <f>IF(DAY(JanSun1)=1,IF(AND(YEAR(JanSun1+17)=CalendarYear,MONTH(JanSun1+17)=1),JanSun1+17,""),IF(AND(YEAR(JanSun1+24)=CalendarYear,MONTH(JanSun1+24)=1),JanSun1+24,""))</f>
        <v>42025</v>
      </c>
      <c r="E11" s="24">
        <f>IF(DAY(JanSun1)=1,IF(AND(YEAR(JanSun1+18)=CalendarYear,MONTH(JanSun1+18)=1),JanSun1+18,""),IF(AND(YEAR(JanSun1+25)=CalendarYear,MONTH(JanSun1+25)=1),JanSun1+25,""))</f>
        <v>42026</v>
      </c>
      <c r="F11" s="24">
        <f>IF(DAY(JanSun1)=1,IF(AND(YEAR(JanSun1+19)=CalendarYear,MONTH(JanSun1+19)=1),JanSun1+19,""),IF(AND(YEAR(JanSun1+26)=CalendarYear,MONTH(JanSun1+26)=1),JanSun1+26,""))</f>
        <v>42027</v>
      </c>
      <c r="G11" s="24">
        <f>IF(DAY(JanSun1)=1,IF(AND(YEAR(JanSun1+20)=CalendarYear,MONTH(JanSun1+20)=1),JanSun1+20,""),IF(AND(YEAR(JanSun1+27)=CalendarYear,MONTH(JanSun1+27)=1),JanSun1+27,""))</f>
        <v>42028</v>
      </c>
      <c r="H11" s="24">
        <f>IF(DAY(JanSun1)=1,IF(AND(YEAR(JanSun1+21)=CalendarYear,MONTH(JanSun1+21)=1),JanSun1+21,""),IF(AND(YEAR(JanSun1+28)=CalendarYear,MONTH(JanSun1+28)=1),JanSun1+28,""))</f>
        <v>42029</v>
      </c>
      <c r="I11" s="3"/>
    </row>
    <row r="12" spans="1:18" ht="64.5" customHeight="1" x14ac:dyDescent="0.25">
      <c r="A12"/>
      <c r="B12" s="21"/>
      <c r="C12" s="21"/>
      <c r="D12" s="21"/>
      <c r="E12" s="21"/>
      <c r="F12" s="21"/>
      <c r="G12" s="26" t="s">
        <v>15</v>
      </c>
      <c r="H12" s="22"/>
      <c r="I12" s="3"/>
    </row>
    <row r="13" spans="1:18" ht="15" customHeight="1" x14ac:dyDescent="0.25">
      <c r="A13"/>
      <c r="B13" s="24">
        <f>IF(DAY(JanSun1)=1,IF(AND(YEAR(JanSun1+22)=CalendarYear,MONTH(JanSun1+22)=1),JanSun1+22,""),IF(AND(YEAR(JanSun1+29)=CalendarYear,MONTH(JanSun1+29)=1),JanSun1+29,""))</f>
        <v>42030</v>
      </c>
      <c r="C13" s="24">
        <f>IF(DAY(JanSun1)=1,IF(AND(YEAR(JanSun1+23)=CalendarYear,MONTH(JanSun1+23)=1),JanSun1+23,""),IF(AND(YEAR(JanSun1+30)=CalendarYear,MONTH(JanSun1+30)=1),JanSun1+30,""))</f>
        <v>42031</v>
      </c>
      <c r="D13" s="24">
        <f>IF(DAY(JanSun1)=1,IF(AND(YEAR(JanSun1+24)=CalendarYear,MONTH(JanSun1+24)=1),JanSun1+24,""),IF(AND(YEAR(JanSun1+31)=CalendarYear,MONTH(JanSun1+31)=1),JanSun1+31,""))</f>
        <v>42032</v>
      </c>
      <c r="E13" s="24">
        <f>IF(DAY(JanSun1)=1,IF(AND(YEAR(JanSun1+25)=CalendarYear,MONTH(JanSun1+25)=1),JanSun1+25,""),IF(AND(YEAR(JanSun1+32)=CalendarYear,MONTH(JanSun1+32)=1),JanSun1+32,""))</f>
        <v>42033</v>
      </c>
      <c r="F13" s="24">
        <f>IF(DAY(JanSun1)=1,IF(AND(YEAR(JanSun1+26)=CalendarYear,MONTH(JanSun1+26)=1),JanSun1+26,""),IF(AND(YEAR(JanSun1+33)=CalendarYear,MONTH(JanSun1+33)=1),JanSun1+33,""))</f>
        <v>42034</v>
      </c>
      <c r="G13" s="24">
        <f>IF(DAY(JanSun1)=1,IF(AND(YEAR(JanSun1+27)=CalendarYear,MONTH(JanSun1+27)=1),JanSun1+27,""),IF(AND(YEAR(JanSun1+34)=CalendarYear,MONTH(JanSun1+34)=1),JanSun1+34,""))</f>
        <v>42035</v>
      </c>
      <c r="H13" s="24" t="str">
        <f>IF(DAY(JanSun1)=1,IF(AND(YEAR(JanSun1+28)=CalendarYear,MONTH(JanSun1+28)=1),JanSun1+28,""),IF(AND(YEAR(JanSun1+35)=CalendarYear,MONTH(JanSun1+35)=1),JanSun1+35,""))</f>
        <v/>
      </c>
      <c r="I13" s="3"/>
    </row>
    <row r="14" spans="1:18" ht="64.5" customHeight="1" x14ac:dyDescent="0.25">
      <c r="A14"/>
      <c r="B14" s="21"/>
      <c r="C14" s="21"/>
      <c r="D14" s="21"/>
      <c r="E14" s="21"/>
      <c r="F14" s="21"/>
      <c r="G14" s="23" t="s">
        <v>22</v>
      </c>
      <c r="H14" s="22"/>
      <c r="I14" s="3"/>
    </row>
    <row r="15" spans="1:18" ht="15" customHeight="1" x14ac:dyDescent="0.25">
      <c r="A15"/>
      <c r="B15" s="24" t="str">
        <f>IF(DAY(JanSun1)=1,IF(AND(YEAR(JanSun1+29)=CalendarYear,MONTH(JanSun1+29)=1),JanSun1+29,""),IF(AND(YEAR(JanSun1+36)=CalendarYear,MONTH(JanSun1+36)=1),JanSun1+36,""))</f>
        <v/>
      </c>
      <c r="C15" s="27" t="str">
        <f>IF(DAY(JanSun1)=1,IF(AND(YEAR(JanSun1+30)=CalendarYear,MONTH(JanSun1+30)=1),JanSun1+30,""),IF(AND(YEAR(JanSun1+37)=CalendarYear,MONTH(JanSun1+37)=1),JanSun1+37,""))</f>
        <v/>
      </c>
      <c r="D15" s="51" t="s">
        <v>7</v>
      </c>
      <c r="E15" s="52"/>
      <c r="F15" s="52"/>
      <c r="G15" s="52"/>
      <c r="H15" s="53"/>
      <c r="I15" s="3"/>
    </row>
    <row r="16" spans="1:18" ht="64.5" customHeight="1" x14ac:dyDescent="0.25">
      <c r="A16"/>
      <c r="B16" s="21"/>
      <c r="C16" s="21"/>
      <c r="D16" s="48"/>
      <c r="E16" s="49"/>
      <c r="F16" s="49"/>
      <c r="G16" s="49"/>
      <c r="H16" s="50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4">
    <mergeCell ref="D16:H16"/>
    <mergeCell ref="D15:H15"/>
    <mergeCell ref="B3:F3"/>
    <mergeCell ref="B2:J2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Spinner 2">
              <controlPr defaultSize="0" autoPict="0" altText="Spinner control. Use spinner to change calendar year or type desired year in cell L2">
                <anchor moveWithCells="1">
                  <from>
                    <xdr:col>10</xdr:col>
                    <xdr:colOff>1047750</xdr:colOff>
                    <xdr:row>1</xdr:row>
                    <xdr:rowOff>85725</xdr:rowOff>
                  </from>
                  <to>
                    <xdr:col>11</xdr:col>
                    <xdr:colOff>114300</xdr:colOff>
                    <xdr:row>1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R20"/>
  <sheetViews>
    <sheetView showGridLines="0" workbookViewId="0">
      <selection activeCell="G10" sqref="G10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65" t="s">
        <v>26</v>
      </c>
      <c r="C2" s="65"/>
      <c r="D2" s="65"/>
      <c r="E2" s="65"/>
      <c r="F2" s="65"/>
      <c r="G2" s="65"/>
      <c r="H2" s="65"/>
      <c r="I2" s="65"/>
      <c r="J2" s="65"/>
    </row>
    <row r="3" spans="1:18" ht="62.25" customHeight="1" x14ac:dyDescent="0.25">
      <c r="A3"/>
      <c r="B3" s="64" t="str">
        <f>UPPER(TEXT(DATE(CalendarYear,10,1),"mmmm yyyy"))</f>
        <v>OCTOBER 2015</v>
      </c>
      <c r="C3" s="64"/>
      <c r="D3" s="64"/>
      <c r="E3" s="64"/>
      <c r="F3" s="64"/>
      <c r="G3" s="13"/>
      <c r="H3" s="13"/>
    </row>
    <row r="4" spans="1:18" customFormat="1" ht="26.25" customHeight="1" x14ac:dyDescent="0.25">
      <c r="B4" s="17" t="s">
        <v>0</v>
      </c>
      <c r="C4" s="18" t="s">
        <v>1</v>
      </c>
      <c r="D4" s="18" t="s">
        <v>2</v>
      </c>
      <c r="E4" s="18" t="s">
        <v>3</v>
      </c>
      <c r="F4" s="18" t="s">
        <v>4</v>
      </c>
      <c r="G4" s="18" t="s">
        <v>5</v>
      </c>
      <c r="H4" s="19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20" t="str">
        <f>IF(DAY(OctSun1)=1,"",IF(AND(YEAR(OctSun1+1)=CalendarYear,MONTH(OctSun1+1)=10),OctSun1+1,""))</f>
        <v/>
      </c>
      <c r="C5" s="20" t="str">
        <f>IF(DAY(OctSun1)=1,"",IF(AND(YEAR(OctSun1+2)=CalendarYear,MONTH(OctSun1+2)=10),OctSun1+2,""))</f>
        <v/>
      </c>
      <c r="D5" s="20" t="str">
        <f>IF(DAY(OctSun1)=1,"",IF(AND(YEAR(OctSun1+3)=CalendarYear,MONTH(OctSun1+3)=10),OctSun1+3,""))</f>
        <v/>
      </c>
      <c r="E5" s="20">
        <f>IF(DAY(OctSun1)=1,"",IF(AND(YEAR(OctSun1+4)=CalendarYear,MONTH(OctSun1+4)=10),OctSun1+4,""))</f>
        <v>42278</v>
      </c>
      <c r="F5" s="20">
        <f>IF(DAY(OctSun1)=1,"",IF(AND(YEAR(OctSun1+5)=CalendarYear,MONTH(OctSun1+5)=10),OctSun1+5,""))</f>
        <v>42279</v>
      </c>
      <c r="G5" s="20">
        <f>IF(DAY(OctSun1)=1,"",IF(AND(YEAR(OctSun1+6)=CalendarYear,MONTH(OctSun1+6)=10),OctSun1+6,""))</f>
        <v>42280</v>
      </c>
      <c r="H5" s="20">
        <f>IF(DAY(OctSun1)=1,IF(AND(YEAR(OctSun1)=CalendarYear,MONTH(OctSun1)=10),OctSun1,""),IF(AND(YEAR(OctSun1+7)=CalendarYear,MONTH(OctSun1+7)=10),OctSun1+7,""))</f>
        <v>42281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21"/>
      <c r="C6" s="21"/>
      <c r="D6" s="21"/>
      <c r="E6" s="21"/>
      <c r="F6" s="21"/>
      <c r="G6" s="23" t="s">
        <v>15</v>
      </c>
      <c r="H6" s="23" t="s">
        <v>15</v>
      </c>
      <c r="I6" s="3"/>
    </row>
    <row r="7" spans="1:18" ht="15" customHeight="1" x14ac:dyDescent="0.25">
      <c r="A7"/>
      <c r="B7" s="20">
        <f>IF(DAY(OctSun1)=1,IF(AND(YEAR(OctSun1+1)=CalendarYear,MONTH(OctSun1+1)=10),OctSun1+1,""),IF(AND(YEAR(OctSun1+8)=CalendarYear,MONTH(OctSun1+8)=10),OctSun1+8,""))</f>
        <v>42282</v>
      </c>
      <c r="C7" s="20">
        <f>IF(DAY(OctSun1)=1,IF(AND(YEAR(OctSun1+2)=CalendarYear,MONTH(OctSun1+2)=10),OctSun1+2,""),IF(AND(YEAR(OctSun1+9)=CalendarYear,MONTH(OctSun1+9)=10),OctSun1+9,""))</f>
        <v>42283</v>
      </c>
      <c r="D7" s="20">
        <f>IF(DAY(OctSun1)=1,IF(AND(YEAR(OctSun1+3)=CalendarYear,MONTH(OctSun1+3)=10),OctSun1+3,""),IF(AND(YEAR(OctSun1+10)=CalendarYear,MONTH(OctSun1+10)=10),OctSun1+10,""))</f>
        <v>42284</v>
      </c>
      <c r="E7" s="20">
        <f>IF(DAY(OctSun1)=1,IF(AND(YEAR(OctSun1+4)=CalendarYear,MONTH(OctSun1+4)=10),OctSun1+4,""),IF(AND(YEAR(OctSun1+11)=CalendarYear,MONTH(OctSun1+11)=10),OctSun1+11,""))</f>
        <v>42285</v>
      </c>
      <c r="F7" s="20">
        <f>IF(DAY(OctSun1)=1,IF(AND(YEAR(OctSun1+5)=CalendarYear,MONTH(OctSun1+5)=10),OctSun1+5,""),IF(AND(YEAR(OctSun1+12)=CalendarYear,MONTH(OctSun1+12)=10),OctSun1+12,""))</f>
        <v>42286</v>
      </c>
      <c r="G7" s="20">
        <f>IF(DAY(OctSun1)=1,IF(AND(YEAR(OctSun1+6)=CalendarYear,MONTH(OctSun1+6)=10),OctSun1+6,""),IF(AND(YEAR(OctSun1+13)=CalendarYear,MONTH(OctSun1+13)=10),OctSun1+13,""))</f>
        <v>42287</v>
      </c>
      <c r="H7" s="20">
        <f>IF(DAY(OctSun1)=1,IF(AND(YEAR(OctSun1+7)=CalendarYear,MONTH(OctSun1+7)=10),OctSun1+7,""),IF(AND(YEAR(OctSun1+14)=CalendarYear,MONTH(OctSun1+14)=10),OctSun1+14,""))</f>
        <v>42288</v>
      </c>
      <c r="I7" s="3"/>
    </row>
    <row r="8" spans="1:18" ht="64.5" customHeight="1" x14ac:dyDescent="0.25">
      <c r="A8"/>
      <c r="B8" s="21"/>
      <c r="C8" s="21"/>
      <c r="D8" s="21"/>
      <c r="E8" s="21"/>
      <c r="F8" s="21"/>
      <c r="G8" s="22"/>
      <c r="H8" s="23" t="s">
        <v>15</v>
      </c>
      <c r="I8" s="3"/>
    </row>
    <row r="9" spans="1:18" ht="15" customHeight="1" x14ac:dyDescent="0.25">
      <c r="A9"/>
      <c r="B9" s="24">
        <f>IF(DAY(OctSun1)=1,IF(AND(YEAR(OctSun1+8)=CalendarYear,MONTH(OctSun1+8)=10),OctSun1+8,""),IF(AND(YEAR(OctSun1+15)=CalendarYear,MONTH(OctSun1+15)=10),OctSun1+15,""))</f>
        <v>42289</v>
      </c>
      <c r="C9" s="24">
        <f>IF(DAY(OctSun1)=1,IF(AND(YEAR(OctSun1+9)=CalendarYear,MONTH(OctSun1+9)=10),OctSun1+9,""),IF(AND(YEAR(OctSun1+16)=CalendarYear,MONTH(OctSun1+16)=10),OctSun1+16,""))</f>
        <v>42290</v>
      </c>
      <c r="D9" s="24">
        <f>IF(DAY(OctSun1)=1,IF(AND(YEAR(OctSun1+10)=CalendarYear,MONTH(OctSun1+10)=10),OctSun1+10,""),IF(AND(YEAR(OctSun1+17)=CalendarYear,MONTH(OctSun1+17)=10),OctSun1+17,""))</f>
        <v>42291</v>
      </c>
      <c r="E9" s="24">
        <f>IF(DAY(OctSun1)=1,IF(AND(YEAR(OctSun1+11)=CalendarYear,MONTH(OctSun1+11)=10),OctSun1+11,""),IF(AND(YEAR(OctSun1+18)=CalendarYear,MONTH(OctSun1+18)=10),OctSun1+18,""))</f>
        <v>42292</v>
      </c>
      <c r="F9" s="24">
        <f>IF(DAY(OctSun1)=1,IF(AND(YEAR(OctSun1+12)=CalendarYear,MONTH(OctSun1+12)=10),OctSun1+12,""),IF(AND(YEAR(OctSun1+19)=CalendarYear,MONTH(OctSun1+19)=10),OctSun1+19,""))</f>
        <v>42293</v>
      </c>
      <c r="G9" s="24">
        <f>IF(DAY(OctSun1)=1,IF(AND(YEAR(OctSun1+13)=CalendarYear,MONTH(OctSun1+13)=10),OctSun1+13,""),IF(AND(YEAR(OctSun1+20)=CalendarYear,MONTH(OctSun1+20)=10),OctSun1+20,""))</f>
        <v>42294</v>
      </c>
      <c r="H9" s="24">
        <f>IF(DAY(OctSun1)=1,IF(AND(YEAR(OctSun1+14)=CalendarYear,MONTH(OctSun1+14)=10),OctSun1+14,""),IF(AND(YEAR(OctSun1+21)=CalendarYear,MONTH(OctSun1+21)=10),OctSun1+21,""))</f>
        <v>42295</v>
      </c>
      <c r="I9" s="3"/>
    </row>
    <row r="10" spans="1:18" ht="64.5" customHeight="1" x14ac:dyDescent="0.25">
      <c r="A10"/>
      <c r="B10" s="25" t="s">
        <v>15</v>
      </c>
      <c r="C10" s="25" t="s">
        <v>8</v>
      </c>
      <c r="D10" s="34" t="s">
        <v>15</v>
      </c>
      <c r="E10" s="34" t="s">
        <v>15</v>
      </c>
      <c r="F10" s="21"/>
      <c r="G10" s="47" t="s">
        <v>41</v>
      </c>
      <c r="H10" s="23" t="s">
        <v>15</v>
      </c>
      <c r="I10" s="3"/>
    </row>
    <row r="11" spans="1:18" ht="15" customHeight="1" x14ac:dyDescent="0.25">
      <c r="A11"/>
      <c r="B11" s="24">
        <f>IF(DAY(OctSun1)=1,IF(AND(YEAR(OctSun1+15)=CalendarYear,MONTH(OctSun1+15)=10),OctSun1+15,""),IF(AND(YEAR(OctSun1+22)=CalendarYear,MONTH(OctSun1+22)=10),OctSun1+22,""))</f>
        <v>42296</v>
      </c>
      <c r="C11" s="24">
        <f>IF(DAY(OctSun1)=1,IF(AND(YEAR(OctSun1+16)=CalendarYear,MONTH(OctSun1+16)=10),OctSun1+16,""),IF(AND(YEAR(OctSun1+23)=CalendarYear,MONTH(OctSun1+23)=10),OctSun1+23,""))</f>
        <v>42297</v>
      </c>
      <c r="D11" s="24">
        <f>IF(DAY(OctSun1)=1,IF(AND(YEAR(OctSun1+17)=CalendarYear,MONTH(OctSun1+17)=10),OctSun1+17,""),IF(AND(YEAR(OctSun1+24)=CalendarYear,MONTH(OctSun1+24)=10),OctSun1+24,""))</f>
        <v>42298</v>
      </c>
      <c r="E11" s="24">
        <f>IF(DAY(OctSun1)=1,IF(AND(YEAR(OctSun1+18)=CalendarYear,MONTH(OctSun1+18)=10),OctSun1+18,""),IF(AND(YEAR(OctSun1+25)=CalendarYear,MONTH(OctSun1+25)=10),OctSun1+25,""))</f>
        <v>42299</v>
      </c>
      <c r="F11" s="24">
        <f>IF(DAY(OctSun1)=1,IF(AND(YEAR(OctSun1+19)=CalendarYear,MONTH(OctSun1+19)=10),OctSun1+19,""),IF(AND(YEAR(OctSun1+26)=CalendarYear,MONTH(OctSun1+26)=10),OctSun1+26,""))</f>
        <v>42300</v>
      </c>
      <c r="G11" s="24">
        <f>IF(DAY(OctSun1)=1,IF(AND(YEAR(OctSun1+20)=CalendarYear,MONTH(OctSun1+20)=10),OctSun1+20,""),IF(AND(YEAR(OctSun1+27)=CalendarYear,MONTH(OctSun1+27)=10),OctSun1+27,""))</f>
        <v>42301</v>
      </c>
      <c r="H11" s="24">
        <f>IF(DAY(OctSun1)=1,IF(AND(YEAR(OctSun1+21)=CalendarYear,MONTH(OctSun1+21)=10),OctSun1+21,""),IF(AND(YEAR(OctSun1+28)=CalendarYear,MONTH(OctSun1+28)=10),OctSun1+28,""))</f>
        <v>42302</v>
      </c>
      <c r="I11" s="3"/>
    </row>
    <row r="12" spans="1:18" ht="64.5" customHeight="1" x14ac:dyDescent="0.25">
      <c r="A12"/>
      <c r="B12" s="21"/>
      <c r="C12" s="21"/>
      <c r="D12" s="21"/>
      <c r="E12" s="21"/>
      <c r="F12" s="34" t="s">
        <v>15</v>
      </c>
      <c r="G12" s="23" t="s">
        <v>31</v>
      </c>
      <c r="H12" s="23" t="s">
        <v>15</v>
      </c>
      <c r="I12" s="3"/>
    </row>
    <row r="13" spans="1:18" ht="15" customHeight="1" x14ac:dyDescent="0.25">
      <c r="A13"/>
      <c r="B13" s="24">
        <f>IF(DAY(OctSun1)=1,IF(AND(YEAR(OctSun1+22)=CalendarYear,MONTH(OctSun1+22)=10),OctSun1+22,""),IF(AND(YEAR(OctSun1+29)=CalendarYear,MONTH(OctSun1+29)=10),OctSun1+29,""))</f>
        <v>42303</v>
      </c>
      <c r="C13" s="24">
        <f>IF(DAY(OctSun1)=1,IF(AND(YEAR(OctSun1+23)=CalendarYear,MONTH(OctSun1+23)=10),OctSun1+23,""),IF(AND(YEAR(OctSun1+30)=CalendarYear,MONTH(OctSun1+30)=10),OctSun1+30,""))</f>
        <v>42304</v>
      </c>
      <c r="D13" s="24">
        <f>IF(DAY(OctSun1)=1,IF(AND(YEAR(OctSun1+24)=CalendarYear,MONTH(OctSun1+24)=10),OctSun1+24,""),IF(AND(YEAR(OctSun1+31)=CalendarYear,MONTH(OctSun1+31)=10),OctSun1+31,""))</f>
        <v>42305</v>
      </c>
      <c r="E13" s="24">
        <f>IF(DAY(OctSun1)=1,IF(AND(YEAR(OctSun1+25)=CalendarYear,MONTH(OctSun1+25)=10),OctSun1+25,""),IF(AND(YEAR(OctSun1+32)=CalendarYear,MONTH(OctSun1+32)=10),OctSun1+32,""))</f>
        <v>42306</v>
      </c>
      <c r="F13" s="24">
        <f>IF(DAY(OctSun1)=1,IF(AND(YEAR(OctSun1+26)=CalendarYear,MONTH(OctSun1+26)=10),OctSun1+26,""),IF(AND(YEAR(OctSun1+33)=CalendarYear,MONTH(OctSun1+33)=10),OctSun1+33,""))</f>
        <v>42307</v>
      </c>
      <c r="G13" s="24">
        <f>IF(DAY(OctSun1)=1,IF(AND(YEAR(OctSun1+27)=CalendarYear,MONTH(OctSun1+27)=10),OctSun1+27,""),IF(AND(YEAR(OctSun1+34)=CalendarYear,MONTH(OctSun1+34)=10),OctSun1+34,""))</f>
        <v>42308</v>
      </c>
      <c r="H13" s="24" t="str">
        <f>IF(DAY(OctSun1)=1,IF(AND(YEAR(OctSun1+28)=CalendarYear,MONTH(OctSun1+28)=10),OctSun1+28,""),IF(AND(YEAR(OctSun1+35)=CalendarYear,MONTH(OctSun1+35)=10),OctSun1+35,""))</f>
        <v/>
      </c>
      <c r="I13" s="3"/>
    </row>
    <row r="14" spans="1:18" ht="64.5" customHeight="1" x14ac:dyDescent="0.25">
      <c r="A14"/>
      <c r="B14" s="21"/>
      <c r="C14" s="21"/>
      <c r="D14" s="21"/>
      <c r="E14" s="21"/>
      <c r="F14" s="21"/>
      <c r="G14" s="23" t="s">
        <v>31</v>
      </c>
      <c r="H14" s="22"/>
      <c r="I14" s="3"/>
    </row>
    <row r="15" spans="1:18" ht="15" customHeight="1" x14ac:dyDescent="0.25">
      <c r="A15"/>
      <c r="B15" s="24" t="str">
        <f>IF(DAY(OctSun1)=1,IF(AND(YEAR(OctSun1+29)=CalendarYear,MONTH(OctSun1+29)=10),OctSun1+29,""),IF(AND(YEAR(OctSun1+36)=CalendarYear,MONTH(OctSun1+36)=10),OctSun1+36,""))</f>
        <v/>
      </c>
      <c r="C15" s="27" t="str">
        <f>IF(DAY(OctSun1)=1,IF(AND(YEAR(OctSun1+30)=CalendarYear,MONTH(OctSun1+30)=10),OctSun1+30,""),IF(AND(YEAR(OctSun1+37)=CalendarYear,MONTH(OctSun1+37)=10),OctSun1+37,""))</f>
        <v/>
      </c>
      <c r="D15" s="51" t="s">
        <v>7</v>
      </c>
      <c r="E15" s="52"/>
      <c r="F15" s="52"/>
      <c r="G15" s="52"/>
      <c r="H15" s="53"/>
      <c r="I15" s="3"/>
    </row>
    <row r="16" spans="1:18" ht="64.5" customHeight="1" x14ac:dyDescent="0.25">
      <c r="A16"/>
      <c r="B16" s="21"/>
      <c r="C16" s="21"/>
      <c r="D16" s="48"/>
      <c r="E16" s="49"/>
      <c r="F16" s="49"/>
      <c r="G16" s="49"/>
      <c r="H16" s="50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4">
    <mergeCell ref="B3:F3"/>
    <mergeCell ref="D15:H15"/>
    <mergeCell ref="D16:H16"/>
    <mergeCell ref="B2:J2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499984740745262"/>
    <pageSetUpPr fitToPage="1"/>
  </sheetPr>
  <dimension ref="A1:R20"/>
  <sheetViews>
    <sheetView showGridLines="0" workbookViewId="0">
      <selection activeCell="G13" sqref="G13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65" t="s">
        <v>27</v>
      </c>
      <c r="C2" s="65"/>
      <c r="D2" s="65"/>
      <c r="E2" s="65"/>
      <c r="F2" s="65"/>
      <c r="G2" s="65"/>
      <c r="H2" s="65"/>
      <c r="I2" s="65"/>
      <c r="J2" s="65"/>
    </row>
    <row r="3" spans="1:18" ht="62.25" customHeight="1" x14ac:dyDescent="0.25">
      <c r="A3"/>
      <c r="B3" s="64" t="str">
        <f>UPPER(TEXT(DATE(CalendarYear,11,1),"mmmm yyyy"))</f>
        <v>NOVEMBER 2015</v>
      </c>
      <c r="C3" s="64"/>
      <c r="D3" s="64"/>
      <c r="E3" s="64"/>
      <c r="F3" s="64"/>
      <c r="G3" s="13"/>
      <c r="H3" s="13"/>
    </row>
    <row r="4" spans="1:18" customFormat="1" ht="26.25" customHeight="1" x14ac:dyDescent="0.25">
      <c r="B4" s="17" t="s">
        <v>0</v>
      </c>
      <c r="C4" s="18" t="s">
        <v>1</v>
      </c>
      <c r="D4" s="18" t="s">
        <v>2</v>
      </c>
      <c r="E4" s="18" t="s">
        <v>3</v>
      </c>
      <c r="F4" s="18" t="s">
        <v>4</v>
      </c>
      <c r="G4" s="18" t="s">
        <v>5</v>
      </c>
      <c r="H4" s="19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20" t="str">
        <f>IF(DAY(NovSun1)=1,"",IF(AND(YEAR(NovSun1+1)=CalendarYear,MONTH(NovSun1+1)=11),NovSun1+1,""))</f>
        <v/>
      </c>
      <c r="C5" s="20" t="str">
        <f>IF(DAY(NovSun1)=1,"",IF(AND(YEAR(NovSun1+2)=CalendarYear,MONTH(NovSun1+2)=11),NovSun1+2,""))</f>
        <v/>
      </c>
      <c r="D5" s="20" t="str">
        <f>IF(DAY(NovSun1)=1,"",IF(AND(YEAR(NovSun1+3)=CalendarYear,MONTH(NovSun1+3)=11),NovSun1+3,""))</f>
        <v/>
      </c>
      <c r="E5" s="20" t="str">
        <f>IF(DAY(NovSun1)=1,"",IF(AND(YEAR(NovSun1+4)=CalendarYear,MONTH(NovSun1+4)=11),NovSun1+4,""))</f>
        <v/>
      </c>
      <c r="F5" s="20" t="str">
        <f>IF(DAY(NovSun1)=1,"",IF(AND(YEAR(NovSun1+5)=CalendarYear,MONTH(NovSun1+5)=11),NovSun1+5,""))</f>
        <v/>
      </c>
      <c r="G5" s="20" t="str">
        <f>IF(DAY(NovSun1)=1,"",IF(AND(YEAR(NovSun1+6)=CalendarYear,MONTH(NovSun1+6)=11),NovSun1+6,""))</f>
        <v/>
      </c>
      <c r="H5" s="20">
        <f>IF(DAY(NovSun1)=1,IF(AND(YEAR(NovSun1)=CalendarYear,MONTH(NovSun1)=11),NovSun1,""),IF(AND(YEAR(NovSun1+7)=CalendarYear,MONTH(NovSun1+7)=11),NovSun1+7,""))</f>
        <v>42309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21"/>
      <c r="C6" s="21"/>
      <c r="D6" s="21"/>
      <c r="E6" s="21"/>
      <c r="F6" s="21"/>
      <c r="G6" s="23" t="s">
        <v>31</v>
      </c>
      <c r="H6" s="23" t="s">
        <v>15</v>
      </c>
      <c r="I6" s="3"/>
    </row>
    <row r="7" spans="1:18" ht="15" customHeight="1" x14ac:dyDescent="0.25">
      <c r="A7"/>
      <c r="B7" s="20">
        <f>IF(DAY(NovSun1)=1,IF(AND(YEAR(NovSun1+1)=CalendarYear,MONTH(NovSun1+1)=11),NovSun1+1,""),IF(AND(YEAR(NovSun1+8)=CalendarYear,MONTH(NovSun1+8)=11),NovSun1+8,""))</f>
        <v>42310</v>
      </c>
      <c r="C7" s="20">
        <f>IF(DAY(NovSun1)=1,IF(AND(YEAR(NovSun1+2)=CalendarYear,MONTH(NovSun1+2)=11),NovSun1+2,""),IF(AND(YEAR(NovSun1+9)=CalendarYear,MONTH(NovSun1+9)=11),NovSun1+9,""))</f>
        <v>42311</v>
      </c>
      <c r="D7" s="20">
        <f>IF(DAY(NovSun1)=1,IF(AND(YEAR(NovSun1+3)=CalendarYear,MONTH(NovSun1+3)=11),NovSun1+3,""),IF(AND(YEAR(NovSun1+10)=CalendarYear,MONTH(NovSun1+10)=11),NovSun1+10,""))</f>
        <v>42312</v>
      </c>
      <c r="E7" s="20">
        <f>IF(DAY(NovSun1)=1,IF(AND(YEAR(NovSun1+4)=CalendarYear,MONTH(NovSun1+4)=11),NovSun1+4,""),IF(AND(YEAR(NovSun1+11)=CalendarYear,MONTH(NovSun1+11)=11),NovSun1+11,""))</f>
        <v>42313</v>
      </c>
      <c r="F7" s="20">
        <f>IF(DAY(NovSun1)=1,IF(AND(YEAR(NovSun1+5)=CalendarYear,MONTH(NovSun1+5)=11),NovSun1+5,""),IF(AND(YEAR(NovSun1+12)=CalendarYear,MONTH(NovSun1+12)=11),NovSun1+12,""))</f>
        <v>42314</v>
      </c>
      <c r="G7" s="20">
        <f>IF(DAY(NovSun1)=1,IF(AND(YEAR(NovSun1+6)=CalendarYear,MONTH(NovSun1+6)=11),NovSun1+6,""),IF(AND(YEAR(NovSun1+13)=CalendarYear,MONTH(NovSun1+13)=11),NovSun1+13,""))</f>
        <v>42315</v>
      </c>
      <c r="H7" s="20">
        <f>IF(DAY(NovSun1)=1,IF(AND(YEAR(NovSun1+7)=CalendarYear,MONTH(NovSun1+7)=11),NovSun1+7,""),IF(AND(YEAR(NovSun1+14)=CalendarYear,MONTH(NovSun1+14)=11),NovSun1+14,""))</f>
        <v>42316</v>
      </c>
      <c r="I7" s="3"/>
    </row>
    <row r="8" spans="1:18" ht="64.5" customHeight="1" x14ac:dyDescent="0.25">
      <c r="A8"/>
      <c r="B8" s="21"/>
      <c r="C8" s="21"/>
      <c r="D8" s="21"/>
      <c r="E8" s="23" t="s">
        <v>15</v>
      </c>
      <c r="F8" s="21"/>
      <c r="G8" s="23" t="s">
        <v>31</v>
      </c>
      <c r="H8" s="23" t="s">
        <v>15</v>
      </c>
      <c r="I8" s="3"/>
    </row>
    <row r="9" spans="1:18" ht="15" customHeight="1" x14ac:dyDescent="0.25">
      <c r="A9"/>
      <c r="B9" s="24">
        <f>IF(DAY(NovSun1)=1,IF(AND(YEAR(NovSun1+8)=CalendarYear,MONTH(NovSun1+8)=11),NovSun1+8,""),IF(AND(YEAR(NovSun1+15)=CalendarYear,MONTH(NovSun1+15)=11),NovSun1+15,""))</f>
        <v>42317</v>
      </c>
      <c r="C9" s="24">
        <f>IF(DAY(NovSun1)=1,IF(AND(YEAR(NovSun1+9)=CalendarYear,MONTH(NovSun1+9)=11),NovSun1+9,""),IF(AND(YEAR(NovSun1+16)=CalendarYear,MONTH(NovSun1+16)=11),NovSun1+16,""))</f>
        <v>42318</v>
      </c>
      <c r="D9" s="24">
        <f>IF(DAY(NovSun1)=1,IF(AND(YEAR(NovSun1+10)=CalendarYear,MONTH(NovSun1+10)=11),NovSun1+10,""),IF(AND(YEAR(NovSun1+17)=CalendarYear,MONTH(NovSun1+17)=11),NovSun1+17,""))</f>
        <v>42319</v>
      </c>
      <c r="E9" s="24">
        <f>IF(DAY(NovSun1)=1,IF(AND(YEAR(NovSun1+11)=CalendarYear,MONTH(NovSun1+11)=11),NovSun1+11,""),IF(AND(YEAR(NovSun1+18)=CalendarYear,MONTH(NovSun1+18)=11),NovSun1+18,""))</f>
        <v>42320</v>
      </c>
      <c r="F9" s="24">
        <f>IF(DAY(NovSun1)=1,IF(AND(YEAR(NovSun1+12)=CalendarYear,MONTH(NovSun1+12)=11),NovSun1+12,""),IF(AND(YEAR(NovSun1+19)=CalendarYear,MONTH(NovSun1+19)=11),NovSun1+19,""))</f>
        <v>42321</v>
      </c>
      <c r="G9" s="24">
        <f>IF(DAY(NovSun1)=1,IF(AND(YEAR(NovSun1+13)=CalendarYear,MONTH(NovSun1+13)=11),NovSun1+13,""),IF(AND(YEAR(NovSun1+20)=CalendarYear,MONTH(NovSun1+20)=11),NovSun1+20,""))</f>
        <v>42322</v>
      </c>
      <c r="H9" s="24">
        <f>IF(DAY(NovSun1)=1,IF(AND(YEAR(NovSun1+14)=CalendarYear,MONTH(NovSun1+14)=11),NovSun1+14,""),IF(AND(YEAR(NovSun1+21)=CalendarYear,MONTH(NovSun1+21)=11),NovSun1+21,""))</f>
        <v>42323</v>
      </c>
      <c r="I9" s="3"/>
    </row>
    <row r="10" spans="1:18" ht="64.5" customHeight="1" x14ac:dyDescent="0.25">
      <c r="A10"/>
      <c r="B10" s="21"/>
      <c r="C10" s="25" t="s">
        <v>8</v>
      </c>
      <c r="D10" s="21"/>
      <c r="E10" s="25" t="s">
        <v>15</v>
      </c>
      <c r="F10" s="25"/>
      <c r="G10" s="23" t="s">
        <v>31</v>
      </c>
      <c r="H10" s="23" t="s">
        <v>15</v>
      </c>
      <c r="I10" s="3"/>
    </row>
    <row r="11" spans="1:18" ht="15" customHeight="1" x14ac:dyDescent="0.25">
      <c r="A11"/>
      <c r="B11" s="24">
        <f>IF(DAY(NovSun1)=1,IF(AND(YEAR(NovSun1+15)=CalendarYear,MONTH(NovSun1+15)=11),NovSun1+15,""),IF(AND(YEAR(NovSun1+22)=CalendarYear,MONTH(NovSun1+22)=11),NovSun1+22,""))</f>
        <v>42324</v>
      </c>
      <c r="C11" s="24">
        <f>IF(DAY(NovSun1)=1,IF(AND(YEAR(NovSun1+16)=CalendarYear,MONTH(NovSun1+16)=11),NovSun1+16,""),IF(AND(YEAR(NovSun1+23)=CalendarYear,MONTH(NovSun1+23)=11),NovSun1+23,""))</f>
        <v>42325</v>
      </c>
      <c r="D11" s="24">
        <v>18</v>
      </c>
      <c r="E11" s="24">
        <f>IF(DAY(NovSun1)=1,IF(AND(YEAR(NovSun1+18)=CalendarYear,MONTH(NovSun1+18)=11),NovSun1+18,""),IF(AND(YEAR(NovSun1+25)=CalendarYear,MONTH(NovSun1+25)=11),NovSun1+25,""))</f>
        <v>42327</v>
      </c>
      <c r="F11" s="24">
        <f>IF(DAY(NovSun1)=1,IF(AND(YEAR(NovSun1+19)=CalendarYear,MONTH(NovSun1+19)=11),NovSun1+19,""),IF(AND(YEAR(NovSun1+26)=CalendarYear,MONTH(NovSun1+26)=11),NovSun1+26,""))</f>
        <v>42328</v>
      </c>
      <c r="G11" s="24">
        <f>IF(DAY(NovSun1)=1,IF(AND(YEAR(NovSun1+20)=CalendarYear,MONTH(NovSun1+20)=11),NovSun1+20,""),IF(AND(YEAR(NovSun1+27)=CalendarYear,MONTH(NovSun1+27)=11),NovSun1+27,""))</f>
        <v>42329</v>
      </c>
      <c r="H11" s="24">
        <f>IF(DAY(NovSun1)=1,IF(AND(YEAR(NovSun1+21)=CalendarYear,MONTH(NovSun1+21)=11),NovSun1+21,""),IF(AND(YEAR(NovSun1+28)=CalendarYear,MONTH(NovSun1+28)=11),NovSun1+28,""))</f>
        <v>42330</v>
      </c>
      <c r="I11" s="3"/>
    </row>
    <row r="12" spans="1:18" ht="64.5" customHeight="1" x14ac:dyDescent="0.25">
      <c r="A12"/>
      <c r="B12" s="23"/>
      <c r="C12" s="21"/>
      <c r="D12" s="25" t="s">
        <v>39</v>
      </c>
      <c r="E12" s="21"/>
      <c r="F12" s="21"/>
      <c r="G12" s="23" t="s">
        <v>42</v>
      </c>
      <c r="H12" s="23" t="s">
        <v>15</v>
      </c>
      <c r="I12" s="3"/>
    </row>
    <row r="13" spans="1:18" ht="15" customHeight="1" x14ac:dyDescent="0.25">
      <c r="A13"/>
      <c r="B13" s="24">
        <f>IF(DAY(NovSun1)=1,IF(AND(YEAR(NovSun1+22)=CalendarYear,MONTH(NovSun1+22)=11),NovSun1+22,""),IF(AND(YEAR(NovSun1+29)=CalendarYear,MONTH(NovSun1+29)=11),NovSun1+29,""))</f>
        <v>42331</v>
      </c>
      <c r="C13" s="24">
        <f>IF(DAY(NovSun1)=1,IF(AND(YEAR(NovSun1+23)=CalendarYear,MONTH(NovSun1+23)=11),NovSun1+23,""),IF(AND(YEAR(NovSun1+30)=CalendarYear,MONTH(NovSun1+30)=11),NovSun1+30,""))</f>
        <v>42332</v>
      </c>
      <c r="D13" s="24">
        <f>IF(DAY(NovSun1)=1,IF(AND(YEAR(NovSun1+24)=CalendarYear,MONTH(NovSun1+24)=11),NovSun1+24,""),IF(AND(YEAR(NovSun1+31)=CalendarYear,MONTH(NovSun1+31)=11),NovSun1+31,""))</f>
        <v>42333</v>
      </c>
      <c r="E13" s="24">
        <f>IF(DAY(NovSun1)=1,IF(AND(YEAR(NovSun1+25)=CalendarYear,MONTH(NovSun1+25)=11),NovSun1+25,""),IF(AND(YEAR(NovSun1+32)=CalendarYear,MONTH(NovSun1+32)=11),NovSun1+32,""))</f>
        <v>42334</v>
      </c>
      <c r="F13" s="24">
        <f>IF(DAY(NovSun1)=1,IF(AND(YEAR(NovSun1+26)=CalendarYear,MONTH(NovSun1+26)=11),NovSun1+26,""),IF(AND(YEAR(NovSun1+33)=CalendarYear,MONTH(NovSun1+33)=11),NovSun1+33,""))</f>
        <v>42335</v>
      </c>
      <c r="G13" s="24">
        <f>IF(DAY(NovSun1)=1,IF(AND(YEAR(NovSun1+27)=CalendarYear,MONTH(NovSun1+27)=11),NovSun1+27,""),IF(AND(YEAR(NovSun1+34)=CalendarYear,MONTH(NovSun1+34)=11),NovSun1+34,""))</f>
        <v>42336</v>
      </c>
      <c r="H13" s="24">
        <f>IF(DAY(NovSun1)=1,IF(AND(YEAR(NovSun1+28)=CalendarYear,MONTH(NovSun1+28)=11),NovSun1+28,""),IF(AND(YEAR(NovSun1+35)=CalendarYear,MONTH(NovSun1+35)=11),NovSun1+35,""))</f>
        <v>42337</v>
      </c>
      <c r="I13" s="3"/>
    </row>
    <row r="14" spans="1:18" ht="64.5" customHeight="1" x14ac:dyDescent="0.25">
      <c r="A14"/>
      <c r="B14" s="21"/>
      <c r="C14" s="21"/>
      <c r="D14" s="25"/>
      <c r="E14" s="21"/>
      <c r="F14" s="23" t="s">
        <v>15</v>
      </c>
      <c r="G14" s="22"/>
      <c r="H14" s="22"/>
      <c r="I14" s="3"/>
    </row>
    <row r="15" spans="1:18" ht="15" customHeight="1" x14ac:dyDescent="0.25">
      <c r="A15"/>
      <c r="B15" s="24">
        <f>IF(DAY(NovSun1)=1,IF(AND(YEAR(NovSun1+29)=CalendarYear,MONTH(NovSun1+29)=11),NovSun1+29,""),IF(AND(YEAR(NovSun1+36)=CalendarYear,MONTH(NovSun1+36)=11),NovSun1+36,""))</f>
        <v>42338</v>
      </c>
      <c r="C15" s="27" t="str">
        <f>IF(DAY(NovSun1)=1,IF(AND(YEAR(NovSun1+30)=CalendarYear,MONTH(NovSun1+30)=11),NovSun1+30,""),IF(AND(YEAR(NovSun1+37)=CalendarYear,MONTH(NovSun1+37)=11),NovSun1+37,""))</f>
        <v/>
      </c>
      <c r="D15" s="51" t="s">
        <v>7</v>
      </c>
      <c r="E15" s="52"/>
      <c r="F15" s="52"/>
      <c r="G15" s="52"/>
      <c r="H15" s="53"/>
      <c r="I15" s="3"/>
    </row>
    <row r="16" spans="1:18" ht="64.5" customHeight="1" x14ac:dyDescent="0.25">
      <c r="A16"/>
      <c r="B16" s="21"/>
      <c r="C16" s="21"/>
      <c r="D16" s="48"/>
      <c r="E16" s="49"/>
      <c r="F16" s="49"/>
      <c r="G16" s="49"/>
      <c r="H16" s="50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4">
    <mergeCell ref="B3:F3"/>
    <mergeCell ref="D15:H15"/>
    <mergeCell ref="D16:H16"/>
    <mergeCell ref="B2:J2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34998626667073579"/>
    <pageSetUpPr fitToPage="1"/>
  </sheetPr>
  <dimension ref="A1:R20"/>
  <sheetViews>
    <sheetView showGridLines="0" tabSelected="1" workbookViewId="0">
      <selection activeCell="G9" sqref="G9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65" t="s">
        <v>26</v>
      </c>
      <c r="C2" s="65"/>
      <c r="D2" s="65"/>
      <c r="E2" s="65"/>
      <c r="F2" s="65"/>
      <c r="G2" s="65"/>
      <c r="H2" s="65"/>
      <c r="I2" s="65"/>
      <c r="J2" s="65"/>
    </row>
    <row r="3" spans="1:18" ht="62.25" customHeight="1" x14ac:dyDescent="0.25">
      <c r="A3"/>
      <c r="B3" s="66" t="str">
        <f>UPPER(TEXT(DATE(CalendarYear,12,1),"mmmm yyyy"))</f>
        <v>DECEMBER 2015</v>
      </c>
      <c r="C3" s="66"/>
      <c r="D3" s="66"/>
      <c r="E3" s="66"/>
      <c r="F3" s="66"/>
      <c r="G3" s="16"/>
      <c r="H3" s="16"/>
    </row>
    <row r="4" spans="1:18" customFormat="1" ht="26.25" customHeight="1" x14ac:dyDescent="0.25">
      <c r="B4" s="30" t="s">
        <v>0</v>
      </c>
      <c r="C4" s="31" t="s">
        <v>1</v>
      </c>
      <c r="D4" s="31" t="s">
        <v>2</v>
      </c>
      <c r="E4" s="31" t="s">
        <v>3</v>
      </c>
      <c r="F4" s="31" t="s">
        <v>4</v>
      </c>
      <c r="G4" s="31" t="s">
        <v>5</v>
      </c>
      <c r="H4" s="32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33" t="str">
        <f>IF(DAY(DecSun1)=1,"",IF(AND(YEAR(DecSun1+1)=CalendarYear,MONTH(DecSun1+1)=12),DecSun1+1,""))</f>
        <v/>
      </c>
      <c r="C5" s="33">
        <f>IF(DAY(DecSun1)=1,"",IF(AND(YEAR(DecSun1+2)=CalendarYear,MONTH(DecSun1+2)=12),DecSun1+2,""))</f>
        <v>42339</v>
      </c>
      <c r="D5" s="33">
        <f>IF(DAY(DecSun1)=1,"",IF(AND(YEAR(DecSun1+3)=CalendarYear,MONTH(DecSun1+3)=12),DecSun1+3,""))</f>
        <v>42340</v>
      </c>
      <c r="E5" s="33">
        <f>IF(DAY(DecSun1)=1,"",IF(AND(YEAR(DecSun1+4)=CalendarYear,MONTH(DecSun1+4)=12),DecSun1+4,""))</f>
        <v>42341</v>
      </c>
      <c r="F5" s="33">
        <f>IF(DAY(DecSun1)=1,"",IF(AND(YEAR(DecSun1+5)=CalendarYear,MONTH(DecSun1+5)=12),DecSun1+5,""))</f>
        <v>42342</v>
      </c>
      <c r="G5" s="33">
        <f>IF(DAY(DecSun1)=1,"",IF(AND(YEAR(DecSun1+6)=CalendarYear,MONTH(DecSun1+6)=12),DecSun1+6,""))</f>
        <v>42343</v>
      </c>
      <c r="H5" s="33">
        <f>IF(DAY(DecSun1)=1,IF(AND(YEAR(DecSun1)=CalendarYear,MONTH(DecSun1)=12),DecSun1,""),IF(AND(YEAR(DecSun1+7)=CalendarYear,MONTH(DecSun1+7)=12),DecSun1+7,""))</f>
        <v>42344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34"/>
      <c r="C6" s="45"/>
      <c r="D6" s="34" t="s">
        <v>15</v>
      </c>
      <c r="E6" s="34"/>
      <c r="F6" s="34"/>
      <c r="G6" s="23" t="s">
        <v>31</v>
      </c>
      <c r="H6" s="35"/>
      <c r="I6" s="3"/>
    </row>
    <row r="7" spans="1:18" ht="15" customHeight="1" x14ac:dyDescent="0.25">
      <c r="A7"/>
      <c r="B7" s="33">
        <f>IF(DAY(DecSun1)=1,IF(AND(YEAR(DecSun1+1)=CalendarYear,MONTH(DecSun1+1)=12),DecSun1+1,""),IF(AND(YEAR(DecSun1+8)=CalendarYear,MONTH(DecSun1+8)=12),DecSun1+8,""))</f>
        <v>42345</v>
      </c>
      <c r="C7" s="33">
        <f>IF(DAY(DecSun1)=1,IF(AND(YEAR(DecSun1+2)=CalendarYear,MONTH(DecSun1+2)=12),DecSun1+2,""),IF(AND(YEAR(DecSun1+9)=CalendarYear,MONTH(DecSun1+9)=12),DecSun1+9,""))</f>
        <v>42346</v>
      </c>
      <c r="D7" s="33">
        <f>IF(DAY(DecSun1)=1,IF(AND(YEAR(DecSun1+3)=CalendarYear,MONTH(DecSun1+3)=12),DecSun1+3,""),IF(AND(YEAR(DecSun1+10)=CalendarYear,MONTH(DecSun1+10)=12),DecSun1+10,""))</f>
        <v>42347</v>
      </c>
      <c r="E7" s="33">
        <f>IF(DAY(DecSun1)=1,IF(AND(YEAR(DecSun1+4)=CalendarYear,MONTH(DecSun1+4)=12),DecSun1+4,""),IF(AND(YEAR(DecSun1+11)=CalendarYear,MONTH(DecSun1+11)=12),DecSun1+11,""))</f>
        <v>42348</v>
      </c>
      <c r="F7" s="33">
        <f>IF(DAY(DecSun1)=1,IF(AND(YEAR(DecSun1+5)=CalendarYear,MONTH(DecSun1+5)=12),DecSun1+5,""),IF(AND(YEAR(DecSun1+12)=CalendarYear,MONTH(DecSun1+12)=12),DecSun1+12,""))</f>
        <v>42349</v>
      </c>
      <c r="G7" s="33">
        <f>IF(DAY(DecSun1)=1,IF(AND(YEAR(DecSun1+6)=CalendarYear,MONTH(DecSun1+6)=12),DecSun1+6,""),IF(AND(YEAR(DecSun1+13)=CalendarYear,MONTH(DecSun1+13)=12),DecSun1+13,""))</f>
        <v>42350</v>
      </c>
      <c r="H7" s="33">
        <f>IF(DAY(DecSun1)=1,IF(AND(YEAR(DecSun1+7)=CalendarYear,MONTH(DecSun1+7)=12),DecSun1+7,""),IF(AND(YEAR(DecSun1+14)=CalendarYear,MONTH(DecSun1+14)=12),DecSun1+14,""))</f>
        <v>42351</v>
      </c>
      <c r="I7" s="3"/>
    </row>
    <row r="8" spans="1:18" ht="64.5" customHeight="1" x14ac:dyDescent="0.25">
      <c r="A8"/>
      <c r="B8" s="34" t="s">
        <v>15</v>
      </c>
      <c r="C8" s="34" t="s">
        <v>8</v>
      </c>
      <c r="D8" s="34"/>
      <c r="E8" s="34"/>
      <c r="F8" s="34"/>
      <c r="G8" s="23" t="s">
        <v>38</v>
      </c>
      <c r="H8" s="35"/>
      <c r="I8" s="3"/>
    </row>
    <row r="9" spans="1:18" ht="15" customHeight="1" x14ac:dyDescent="0.25">
      <c r="A9"/>
      <c r="B9" s="36">
        <f>IF(DAY(DecSun1)=1,IF(AND(YEAR(DecSun1+8)=CalendarYear,MONTH(DecSun1+8)=12),DecSun1+8,""),IF(AND(YEAR(DecSun1+15)=CalendarYear,MONTH(DecSun1+15)=12),DecSun1+15,""))</f>
        <v>42352</v>
      </c>
      <c r="C9" s="36">
        <f>IF(DAY(DecSun1)=1,IF(AND(YEAR(DecSun1+9)=CalendarYear,MONTH(DecSun1+9)=12),DecSun1+9,""),IF(AND(YEAR(DecSun1+16)=CalendarYear,MONTH(DecSun1+16)=12),DecSun1+16,""))</f>
        <v>42353</v>
      </c>
      <c r="D9" s="36">
        <f>IF(DAY(DecSun1)=1,IF(AND(YEAR(DecSun1+10)=CalendarYear,MONTH(DecSun1+10)=12),DecSun1+10,""),IF(AND(YEAR(DecSun1+17)=CalendarYear,MONTH(DecSun1+17)=12),DecSun1+17,""))</f>
        <v>42354</v>
      </c>
      <c r="E9" s="36">
        <f>IF(DAY(DecSun1)=1,IF(AND(YEAR(DecSun1+11)=CalendarYear,MONTH(DecSun1+11)=12),DecSun1+11,""),IF(AND(YEAR(DecSun1+18)=CalendarYear,MONTH(DecSun1+18)=12),DecSun1+18,""))</f>
        <v>42355</v>
      </c>
      <c r="F9" s="36">
        <f>IF(DAY(DecSun1)=1,IF(AND(YEAR(DecSun1+12)=CalendarYear,MONTH(DecSun1+12)=12),DecSun1+12,""),IF(AND(YEAR(DecSun1+19)=CalendarYear,MONTH(DecSun1+19)=12),DecSun1+19,""))</f>
        <v>42356</v>
      </c>
      <c r="G9" s="36">
        <f>IF(DAY(DecSun1)=1,IF(AND(YEAR(DecSun1+13)=CalendarYear,MONTH(DecSun1+13)=12),DecSun1+13,""),IF(AND(YEAR(DecSun1+20)=CalendarYear,MONTH(DecSun1+20)=12),DecSun1+20,""))</f>
        <v>42357</v>
      </c>
      <c r="H9" s="36">
        <f>IF(DAY(DecSun1)=1,IF(AND(YEAR(DecSun1+14)=CalendarYear,MONTH(DecSun1+14)=12),DecSun1+14,""),IF(AND(YEAR(DecSun1+21)=CalendarYear,MONTH(DecSun1+21)=12),DecSun1+21,""))</f>
        <v>42358</v>
      </c>
      <c r="I9" s="3"/>
    </row>
    <row r="10" spans="1:18" ht="64.5" customHeight="1" x14ac:dyDescent="0.25">
      <c r="A10"/>
      <c r="B10" s="34"/>
      <c r="C10" s="42"/>
      <c r="D10" s="46"/>
      <c r="E10" s="34" t="s">
        <v>15</v>
      </c>
      <c r="F10" s="34"/>
      <c r="G10" s="46"/>
      <c r="H10" s="35" t="s">
        <v>15</v>
      </c>
      <c r="I10" s="3"/>
    </row>
    <row r="11" spans="1:18" ht="15" customHeight="1" x14ac:dyDescent="0.25">
      <c r="A11"/>
      <c r="B11" s="36">
        <f>IF(DAY(DecSun1)=1,IF(AND(YEAR(DecSun1+15)=CalendarYear,MONTH(DecSun1+15)=12),DecSun1+15,""),IF(AND(YEAR(DecSun1+22)=CalendarYear,MONTH(DecSun1+22)=12),DecSun1+22,""))</f>
        <v>42359</v>
      </c>
      <c r="C11" s="36">
        <f>IF(DAY(DecSun1)=1,IF(AND(YEAR(DecSun1+16)=CalendarYear,MONTH(DecSun1+16)=12),DecSun1+16,""),IF(AND(YEAR(DecSun1+23)=CalendarYear,MONTH(DecSun1+23)=12),DecSun1+23,""))</f>
        <v>42360</v>
      </c>
      <c r="D11" s="36">
        <f>IF(DAY(DecSun1)=1,IF(AND(YEAR(DecSun1+17)=CalendarYear,MONTH(DecSun1+17)=12),DecSun1+17,""),IF(AND(YEAR(DecSun1+24)=CalendarYear,MONTH(DecSun1+24)=12),DecSun1+24,""))</f>
        <v>42361</v>
      </c>
      <c r="E11" s="36">
        <f>IF(DAY(DecSun1)=1,IF(AND(YEAR(DecSun1+18)=CalendarYear,MONTH(DecSun1+18)=12),DecSun1+18,""),IF(AND(YEAR(DecSun1+25)=CalendarYear,MONTH(DecSun1+25)=12),DecSun1+25,""))</f>
        <v>42362</v>
      </c>
      <c r="F11" s="36">
        <f>IF(DAY(DecSun1)=1,IF(AND(YEAR(DecSun1+19)=CalendarYear,MONTH(DecSun1+19)=12),DecSun1+19,""),IF(AND(YEAR(DecSun1+26)=CalendarYear,MONTH(DecSun1+26)=12),DecSun1+26,""))</f>
        <v>42363</v>
      </c>
      <c r="G11" s="36">
        <f>IF(DAY(DecSun1)=1,IF(AND(YEAR(DecSun1+20)=CalendarYear,MONTH(DecSun1+20)=12),DecSun1+20,""),IF(AND(YEAR(DecSun1+27)=CalendarYear,MONTH(DecSun1+27)=12),DecSun1+27,""))</f>
        <v>42364</v>
      </c>
      <c r="H11" s="36">
        <f>IF(DAY(DecSun1)=1,IF(AND(YEAR(DecSun1+21)=CalendarYear,MONTH(DecSun1+21)=12),DecSun1+21,""),IF(AND(YEAR(DecSun1+28)=CalendarYear,MONTH(DecSun1+28)=12),DecSun1+28,""))</f>
        <v>42365</v>
      </c>
      <c r="I11" s="3"/>
    </row>
    <row r="12" spans="1:18" ht="64.5" customHeight="1" x14ac:dyDescent="0.25">
      <c r="A12"/>
      <c r="B12" s="34"/>
      <c r="C12" s="34"/>
      <c r="D12" s="34"/>
      <c r="E12" s="34" t="s">
        <v>15</v>
      </c>
      <c r="F12" s="34" t="s">
        <v>20</v>
      </c>
      <c r="G12" s="35"/>
      <c r="H12" s="35"/>
      <c r="I12" s="3"/>
    </row>
    <row r="13" spans="1:18" ht="15" customHeight="1" x14ac:dyDescent="0.25">
      <c r="A13"/>
      <c r="B13" s="36">
        <f>IF(DAY(DecSun1)=1,IF(AND(YEAR(DecSun1+22)=CalendarYear,MONTH(DecSun1+22)=12),DecSun1+22,""),IF(AND(YEAR(DecSun1+29)=CalendarYear,MONTH(DecSun1+29)=12),DecSun1+29,""))</f>
        <v>42366</v>
      </c>
      <c r="C13" s="36">
        <f>IF(DAY(DecSun1)=1,IF(AND(YEAR(DecSun1+23)=CalendarYear,MONTH(DecSun1+23)=12),DecSun1+23,""),IF(AND(YEAR(DecSun1+30)=CalendarYear,MONTH(DecSun1+30)=12),DecSun1+30,""))</f>
        <v>42367</v>
      </c>
      <c r="D13" s="36">
        <f>IF(DAY(DecSun1)=1,IF(AND(YEAR(DecSun1+24)=CalendarYear,MONTH(DecSun1+24)=12),DecSun1+24,""),IF(AND(YEAR(DecSun1+31)=CalendarYear,MONTH(DecSun1+31)=12),DecSun1+31,""))</f>
        <v>42368</v>
      </c>
      <c r="E13" s="36">
        <f>IF(DAY(DecSun1)=1,IF(AND(YEAR(DecSun1+25)=CalendarYear,MONTH(DecSun1+25)=12),DecSun1+25,""),IF(AND(YEAR(DecSun1+32)=CalendarYear,MONTH(DecSun1+32)=12),DecSun1+32,""))</f>
        <v>42369</v>
      </c>
      <c r="F13" s="36" t="str">
        <f>IF(DAY(DecSun1)=1,IF(AND(YEAR(DecSun1+26)=CalendarYear,MONTH(DecSun1+26)=12),DecSun1+26,""),IF(AND(YEAR(DecSun1+33)=CalendarYear,MONTH(DecSun1+33)=12),DecSun1+33,""))</f>
        <v/>
      </c>
      <c r="G13" s="36" t="str">
        <f>IF(DAY(DecSun1)=1,IF(AND(YEAR(DecSun1+27)=CalendarYear,MONTH(DecSun1+27)=12),DecSun1+27,""),IF(AND(YEAR(DecSun1+34)=CalendarYear,MONTH(DecSun1+34)=12),DecSun1+34,""))</f>
        <v/>
      </c>
      <c r="H13" s="36" t="str">
        <f>IF(DAY(DecSun1)=1,IF(AND(YEAR(DecSun1+28)=CalendarYear,MONTH(DecSun1+28)=12),DecSun1+28,""),IF(AND(YEAR(DecSun1+35)=CalendarYear,MONTH(DecSun1+35)=12),DecSun1+35,""))</f>
        <v/>
      </c>
      <c r="I13" s="3"/>
    </row>
    <row r="14" spans="1:18" ht="64.5" customHeight="1" x14ac:dyDescent="0.25">
      <c r="A14"/>
      <c r="B14" s="44"/>
      <c r="C14" s="34" t="s">
        <v>15</v>
      </c>
      <c r="D14" s="34"/>
      <c r="E14" s="34"/>
      <c r="F14" s="34"/>
      <c r="G14" s="35"/>
      <c r="H14" s="35"/>
      <c r="I14" s="3"/>
    </row>
    <row r="15" spans="1:18" ht="15" customHeight="1" x14ac:dyDescent="0.25">
      <c r="A15"/>
      <c r="B15" s="36" t="str">
        <f>IF(DAY(DecSun1)=1,IF(AND(YEAR(DecSun1+29)=CalendarYear,MONTH(DecSun1+29)=12),DecSun1+29,""),IF(AND(YEAR(DecSun1+36)=CalendarYear,MONTH(DecSun1+36)=12),DecSun1+36,""))</f>
        <v/>
      </c>
      <c r="C15" s="39" t="str">
        <f>IF(DAY(DecSun1)=1,IF(AND(YEAR(DecSun1+30)=CalendarYear,MONTH(DecSun1+30)=12),DecSun1+30,""),IF(AND(YEAR(DecSun1+37)=CalendarYear,MONTH(DecSun1+37)=12),DecSun1+37,""))</f>
        <v/>
      </c>
      <c r="D15" s="57" t="s">
        <v>7</v>
      </c>
      <c r="E15" s="58"/>
      <c r="F15" s="58"/>
      <c r="G15" s="58"/>
      <c r="H15" s="59"/>
      <c r="I15" s="3"/>
    </row>
    <row r="16" spans="1:18" ht="64.5" customHeight="1" x14ac:dyDescent="0.25">
      <c r="A16"/>
      <c r="B16" s="34"/>
      <c r="C16" s="34"/>
      <c r="D16" s="60" t="s">
        <v>21</v>
      </c>
      <c r="E16" s="61"/>
      <c r="F16" s="61"/>
      <c r="G16" s="61"/>
      <c r="H16" s="62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4">
    <mergeCell ref="B3:F3"/>
    <mergeCell ref="D15:H15"/>
    <mergeCell ref="D16:H16"/>
    <mergeCell ref="B2:J2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34998626667073579"/>
    <pageSetUpPr fitToPage="1"/>
  </sheetPr>
  <dimension ref="A1:R20"/>
  <sheetViews>
    <sheetView showGridLines="0" zoomScaleNormal="100" workbookViewId="0">
      <selection activeCell="G13" sqref="G13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63" t="s">
        <v>25</v>
      </c>
      <c r="C2" s="63"/>
      <c r="D2" s="63"/>
      <c r="E2" s="63"/>
      <c r="F2" s="63"/>
      <c r="G2" s="63"/>
      <c r="H2" s="63"/>
      <c r="I2" s="63"/>
      <c r="J2" s="63"/>
    </row>
    <row r="3" spans="1:18" s="29" customFormat="1" ht="62.25" customHeight="1" x14ac:dyDescent="0.25">
      <c r="A3" s="10"/>
      <c r="B3" s="56" t="str">
        <f>UPPER(TEXT(DATE(CalendarYear,2,1),"mmmm yyyy"))</f>
        <v>FEBRUARY 2015</v>
      </c>
      <c r="C3" s="56"/>
      <c r="D3" s="56"/>
      <c r="E3" s="56"/>
      <c r="F3" s="56"/>
      <c r="G3" s="28"/>
      <c r="H3" s="28"/>
    </row>
    <row r="4" spans="1:18" customFormat="1" ht="26.25" customHeight="1" x14ac:dyDescent="0.25">
      <c r="B4" s="30" t="s">
        <v>0</v>
      </c>
      <c r="C4" s="31" t="s">
        <v>1</v>
      </c>
      <c r="D4" s="31" t="s">
        <v>2</v>
      </c>
      <c r="E4" s="31" t="s">
        <v>3</v>
      </c>
      <c r="F4" s="31" t="s">
        <v>4</v>
      </c>
      <c r="G4" s="31" t="s">
        <v>5</v>
      </c>
      <c r="H4" s="32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33" t="str">
        <f>IF(DAY(FebSun1)=1,"",IF(AND(YEAR(FebSun1+1)=CalendarYear,MONTH(FebSun1+1)=2),FebSun1+1,""))</f>
        <v/>
      </c>
      <c r="C5" s="33" t="str">
        <f>IF(DAY(FebSun1)=1,"",IF(AND(YEAR(FebSun1+2)=CalendarYear,MONTH(FebSun1+2)=2),FebSun1+2,""))</f>
        <v/>
      </c>
      <c r="D5" s="33" t="str">
        <f>IF(DAY(FebSun1)=1,"",IF(AND(YEAR(FebSun1+3)=CalendarYear,MONTH(FebSun1+3)=2),FebSun1+3,""))</f>
        <v/>
      </c>
      <c r="E5" s="33" t="str">
        <f>IF(DAY(FebSun1)=1,"",IF(AND(YEAR(FebSun1+4)=CalendarYear,MONTH(FebSun1+4)=2),FebSun1+4,""))</f>
        <v/>
      </c>
      <c r="F5" s="33" t="str">
        <f>IF(DAY(FebSun1)=1,"",IF(AND(YEAR(FebSun1+5)=CalendarYear,MONTH(FebSun1+5)=2),FebSun1+5,""))</f>
        <v/>
      </c>
      <c r="G5" s="33" t="str">
        <f>IF(DAY(FebSun1)=1,"",IF(AND(YEAR(FebSun1+6)=CalendarYear,MONTH(FebSun1+6)=2),FebSun1+6,""))</f>
        <v/>
      </c>
      <c r="H5" s="33">
        <f>IF(DAY(FebSun1)=1,IF(AND(YEAR(FebSun1)=CalendarYear,MONTH(FebSun1)=2),FebSun1,""),IF(AND(YEAR(FebSun1+7)=CalendarYear,MONTH(FebSun1+7)=2),FebSun1+7,""))</f>
        <v>42036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34"/>
      <c r="C6" s="34"/>
      <c r="D6" s="34"/>
      <c r="E6" s="34"/>
      <c r="F6" s="34"/>
      <c r="G6" s="35"/>
      <c r="H6" s="35" t="s">
        <v>15</v>
      </c>
      <c r="I6"/>
    </row>
    <row r="7" spans="1:18" ht="15" customHeight="1" x14ac:dyDescent="0.25">
      <c r="A7"/>
      <c r="B7" s="33">
        <f>IF(DAY(FebSun1)=1,IF(AND(YEAR(FebSun1+1)=CalendarYear,MONTH(FebSun1+1)=2),FebSun1+1,""),IF(AND(YEAR(FebSun1+8)=CalendarYear,MONTH(FebSun1+8)=2),FebSun1+8,""))</f>
        <v>42037</v>
      </c>
      <c r="C7" s="33">
        <f>IF(DAY(FebSun1)=1,IF(AND(YEAR(FebSun1+2)=CalendarYear,MONTH(FebSun1+2)=2),FebSun1+2,""),IF(AND(YEAR(FebSun1+9)=CalendarYear,MONTH(FebSun1+9)=2),FebSun1+9,""))</f>
        <v>42038</v>
      </c>
      <c r="D7" s="33">
        <f>IF(DAY(FebSun1)=1,IF(AND(YEAR(FebSun1+3)=CalendarYear,MONTH(FebSun1+3)=2),FebSun1+3,""),IF(AND(YEAR(FebSun1+10)=CalendarYear,MONTH(FebSun1+10)=2),FebSun1+10,""))</f>
        <v>42039</v>
      </c>
      <c r="E7" s="33">
        <f>IF(DAY(FebSun1)=1,IF(AND(YEAR(FebSun1+4)=CalendarYear,MONTH(FebSun1+4)=2),FebSun1+4,""),IF(AND(YEAR(FebSun1+11)=CalendarYear,MONTH(FebSun1+11)=2),FebSun1+11,""))</f>
        <v>42040</v>
      </c>
      <c r="F7" s="33">
        <f>IF(DAY(FebSun1)=1,IF(AND(YEAR(FebSun1+5)=CalendarYear,MONTH(FebSun1+5)=2),FebSun1+5,""),IF(AND(YEAR(FebSun1+12)=CalendarYear,MONTH(FebSun1+12)=2),FebSun1+12,""))</f>
        <v>42041</v>
      </c>
      <c r="G7" s="33">
        <f>IF(DAY(FebSun1)=1,IF(AND(YEAR(FebSun1+6)=CalendarYear,MONTH(FebSun1+6)=2),FebSun1+6,""),IF(AND(YEAR(FebSun1+13)=CalendarYear,MONTH(FebSun1+13)=2),FebSun1+13,""))</f>
        <v>42042</v>
      </c>
      <c r="H7" s="33">
        <f>IF(DAY(FebSun1)=1,IF(AND(YEAR(FebSun1+7)=CalendarYear,MONTH(FebSun1+7)=2),FebSun1+7,""),IF(AND(YEAR(FebSun1+14)=CalendarYear,MONTH(FebSun1+14)=2),FebSun1+14,""))</f>
        <v>42043</v>
      </c>
      <c r="I7" s="3"/>
    </row>
    <row r="8" spans="1:18" ht="64.5" customHeight="1" x14ac:dyDescent="0.25">
      <c r="A8"/>
      <c r="B8" s="34"/>
      <c r="C8" s="34"/>
      <c r="D8" s="34"/>
      <c r="E8" s="34"/>
      <c r="F8" s="34"/>
      <c r="G8" s="35" t="s">
        <v>22</v>
      </c>
      <c r="H8" s="35" t="s">
        <v>15</v>
      </c>
      <c r="I8" s="3"/>
    </row>
    <row r="9" spans="1:18" ht="15" customHeight="1" x14ac:dyDescent="0.25">
      <c r="A9"/>
      <c r="B9" s="36">
        <f>IF(DAY(FebSun1)=1,IF(AND(YEAR(FebSun1+8)=CalendarYear,MONTH(FebSun1+8)=2),FebSun1+8,""),IF(AND(YEAR(FebSun1+15)=CalendarYear,MONTH(FebSun1+15)=2),FebSun1+15,""))</f>
        <v>42044</v>
      </c>
      <c r="C9" s="36">
        <f>IF(DAY(FebSun1)=1,IF(AND(YEAR(FebSun1+9)=CalendarYear,MONTH(FebSun1+9)=2),FebSun1+9,""),IF(AND(YEAR(FebSun1+16)=CalendarYear,MONTH(FebSun1+16)=2),FebSun1+16,""))</f>
        <v>42045</v>
      </c>
      <c r="D9" s="36">
        <f>IF(DAY(FebSun1)=1,IF(AND(YEAR(FebSun1+10)=CalendarYear,MONTH(FebSun1+10)=2),FebSun1+10,""),IF(AND(YEAR(FebSun1+17)=CalendarYear,MONTH(FebSun1+17)=2),FebSun1+17,""))</f>
        <v>42046</v>
      </c>
      <c r="E9" s="36">
        <f>IF(DAY(FebSun1)=1,IF(AND(YEAR(FebSun1+11)=CalendarYear,MONTH(FebSun1+11)=2),FebSun1+11,""),IF(AND(YEAR(FebSun1+18)=CalendarYear,MONTH(FebSun1+18)=2),FebSun1+18,""))</f>
        <v>42047</v>
      </c>
      <c r="F9" s="36">
        <f>IF(DAY(FebSun1)=1,IF(AND(YEAR(FebSun1+12)=CalendarYear,MONTH(FebSun1+12)=2),FebSun1+12,""),IF(AND(YEAR(FebSun1+19)=CalendarYear,MONTH(FebSun1+19)=2),FebSun1+19,""))</f>
        <v>42048</v>
      </c>
      <c r="G9" s="36">
        <f>IF(DAY(FebSun1)=1,IF(AND(YEAR(FebSun1+13)=CalendarYear,MONTH(FebSun1+13)=2),FebSun1+13,""),IF(AND(YEAR(FebSun1+20)=CalendarYear,MONTH(FebSun1+20)=2),FebSun1+20,""))</f>
        <v>42049</v>
      </c>
      <c r="H9" s="36">
        <f>IF(DAY(FebSun1)=1,IF(AND(YEAR(FebSun1+14)=CalendarYear,MONTH(FebSun1+14)=2),FebSun1+14,""),IF(AND(YEAR(FebSun1+21)=CalendarYear,MONTH(FebSun1+21)=2),FebSun1+21,""))</f>
        <v>42050</v>
      </c>
      <c r="I9"/>
    </row>
    <row r="10" spans="1:18" ht="64.5" customHeight="1" x14ac:dyDescent="0.25">
      <c r="A10"/>
      <c r="B10" s="34"/>
      <c r="C10" s="34" t="s">
        <v>29</v>
      </c>
      <c r="D10" s="34" t="s">
        <v>15</v>
      </c>
      <c r="E10" s="34"/>
      <c r="F10" s="34"/>
      <c r="G10" s="35" t="s">
        <v>22</v>
      </c>
      <c r="H10" s="35" t="s">
        <v>15</v>
      </c>
      <c r="I10"/>
    </row>
    <row r="11" spans="1:18" ht="15" customHeight="1" x14ac:dyDescent="0.25">
      <c r="A11"/>
      <c r="B11" s="36">
        <f>IF(DAY(FebSun1)=1,IF(AND(YEAR(FebSun1+15)=CalendarYear,MONTH(FebSun1+15)=2),FebSun1+15,""),IF(AND(YEAR(FebSun1+22)=CalendarYear,MONTH(FebSun1+22)=2),FebSun1+22,""))</f>
        <v>42051</v>
      </c>
      <c r="C11" s="36">
        <f>IF(DAY(FebSun1)=1,IF(AND(YEAR(FebSun1+16)=CalendarYear,MONTH(FebSun1+16)=2),FebSun1+16,""),IF(AND(YEAR(FebSun1+23)=CalendarYear,MONTH(FebSun1+23)=2),FebSun1+23,""))</f>
        <v>42052</v>
      </c>
      <c r="D11" s="36">
        <f>IF(DAY(FebSun1)=1,IF(AND(YEAR(FebSun1+17)=CalendarYear,MONTH(FebSun1+17)=2),FebSun1+17,""),IF(AND(YEAR(FebSun1+24)=CalendarYear,MONTH(FebSun1+24)=2),FebSun1+24,""))</f>
        <v>42053</v>
      </c>
      <c r="E11" s="36">
        <f>IF(DAY(FebSun1)=1,IF(AND(YEAR(FebSun1+18)=CalendarYear,MONTH(FebSun1+18)=2),FebSun1+18,""),IF(AND(YEAR(FebSun1+25)=CalendarYear,MONTH(FebSun1+25)=2),FebSun1+25,""))</f>
        <v>42054</v>
      </c>
      <c r="F11" s="36">
        <f>IF(DAY(FebSun1)=1,IF(AND(YEAR(FebSun1+19)=CalendarYear,MONTH(FebSun1+19)=2),FebSun1+19,""),IF(AND(YEAR(FebSun1+26)=CalendarYear,MONTH(FebSun1+26)=2),FebSun1+26,""))</f>
        <v>42055</v>
      </c>
      <c r="G11" s="36">
        <f>IF(DAY(FebSun1)=1,IF(AND(YEAR(FebSun1+20)=CalendarYear,MONTH(FebSun1+20)=2),FebSun1+20,""),IF(AND(YEAR(FebSun1+27)=CalendarYear,MONTH(FebSun1+27)=2),FebSun1+27,""))</f>
        <v>42056</v>
      </c>
      <c r="H11" s="36">
        <f>IF(DAY(FebSun1)=1,IF(AND(YEAR(FebSun1+21)=CalendarYear,MONTH(FebSun1+21)=2),FebSun1+21,""),IF(AND(YEAR(FebSun1+28)=CalendarYear,MONTH(FebSun1+28)=2),FebSun1+28,""))</f>
        <v>42057</v>
      </c>
      <c r="I11" s="3"/>
    </row>
    <row r="12" spans="1:18" ht="64.5" customHeight="1" x14ac:dyDescent="0.25">
      <c r="A12"/>
      <c r="B12" s="34"/>
      <c r="C12" s="34"/>
      <c r="D12" s="34"/>
      <c r="E12" s="34"/>
      <c r="F12" s="34"/>
      <c r="G12" s="35" t="s">
        <v>22</v>
      </c>
      <c r="H12" s="35" t="s">
        <v>15</v>
      </c>
      <c r="I12" s="3"/>
    </row>
    <row r="13" spans="1:18" ht="15" customHeight="1" x14ac:dyDescent="0.25">
      <c r="A13"/>
      <c r="B13" s="36">
        <f>IF(DAY(FebSun1)=1,IF(AND(YEAR(FebSun1+22)=CalendarYear,MONTH(FebSun1+22)=2),FebSun1+22,""),IF(AND(YEAR(FebSun1+29)=CalendarYear,MONTH(FebSun1+29)=2),FebSun1+29,""))</f>
        <v>42058</v>
      </c>
      <c r="C13" s="36">
        <f>IF(DAY(FebSun1)=1,IF(AND(YEAR(FebSun1+23)=CalendarYear,MONTH(FebSun1+23)=2),FebSun1+23,""),IF(AND(YEAR(FebSun1+30)=CalendarYear,MONTH(FebSun1+30)=2),FebSun1+30,""))</f>
        <v>42059</v>
      </c>
      <c r="D13" s="36">
        <f>IF(DAY(FebSun1)=1,IF(AND(YEAR(FebSun1+24)=CalendarYear,MONTH(FebSun1+24)=2),FebSun1+24,""),IF(AND(YEAR(FebSun1+31)=CalendarYear,MONTH(FebSun1+31)=2),FebSun1+31,""))</f>
        <v>42060</v>
      </c>
      <c r="E13" s="36">
        <f>IF(DAY(FebSun1)=1,IF(AND(YEAR(FebSun1+25)=CalendarYear,MONTH(FebSun1+25)=2),FebSun1+25,""),IF(AND(YEAR(FebSun1+32)=CalendarYear,MONTH(FebSun1+32)=2),FebSun1+32,""))</f>
        <v>42061</v>
      </c>
      <c r="F13" s="36">
        <f>IF(DAY(FebSun1)=1,IF(AND(YEAR(FebSun1+26)=CalendarYear,MONTH(FebSun1+26)=2),FebSun1+26,""),IF(AND(YEAR(FebSun1+33)=CalendarYear,MONTH(FebSun1+33)=2),FebSun1+33,""))</f>
        <v>42062</v>
      </c>
      <c r="G13" s="36">
        <f>IF(DAY(FebSun1)=1,IF(AND(YEAR(FebSun1+27)=CalendarYear,MONTH(FebSun1+27)=2),FebSun1+27,""),IF(AND(YEAR(FebSun1+34)=CalendarYear,MONTH(FebSun1+34)=2),FebSun1+34,""))</f>
        <v>42063</v>
      </c>
      <c r="H13" s="36" t="str">
        <f>IF(DAY(FebSun1)=1,IF(AND(YEAR(FebSun1+28)=CalendarYear,MONTH(FebSun1+28)=2),FebSun1+28,""),IF(AND(YEAR(FebSun1+35)=CalendarYear,MONTH(FebSun1+35)=2),FebSun1+35,""))</f>
        <v/>
      </c>
      <c r="I13" s="3"/>
    </row>
    <row r="14" spans="1:18" ht="64.5" customHeight="1" x14ac:dyDescent="0.25">
      <c r="A14"/>
      <c r="B14" s="34"/>
      <c r="C14" s="34"/>
      <c r="D14" s="34"/>
      <c r="E14" s="34"/>
      <c r="F14" s="34"/>
      <c r="G14" s="35" t="s">
        <v>22</v>
      </c>
      <c r="H14" s="35"/>
      <c r="I14" s="3"/>
    </row>
    <row r="15" spans="1:18" ht="15" customHeight="1" x14ac:dyDescent="0.25">
      <c r="A15"/>
      <c r="B15" s="36" t="str">
        <f>IF(DAY(FebSun1)=1,IF(AND(YEAR(FebSun1+29)=CalendarYear,MONTH(FebSun1+29)=2),FebSun1+29,""),IF(AND(YEAR(FebSun1+36)=CalendarYear,MONTH(FebSun1+36)=2),FebSun1+36,""))</f>
        <v/>
      </c>
      <c r="C15" s="39" t="str">
        <f>IF(DAY(FebSun1)=1,IF(AND(YEAR(FebSun1+30)=CalendarYear,MONTH(FebSun1+30)=2),FebSun1+30,""),IF(AND(YEAR(FebSun1+37)=CalendarYear,MONTH(FebSun1+37)=2),FebSun1+37,""))</f>
        <v/>
      </c>
      <c r="D15" s="57" t="s">
        <v>7</v>
      </c>
      <c r="E15" s="58"/>
      <c r="F15" s="58"/>
      <c r="G15" s="58"/>
      <c r="H15" s="59"/>
      <c r="I15" s="3"/>
    </row>
    <row r="16" spans="1:18" ht="64.5" customHeight="1" x14ac:dyDescent="0.25">
      <c r="A16"/>
      <c r="B16" s="34"/>
      <c r="C16" s="34"/>
      <c r="D16" s="60"/>
      <c r="E16" s="61"/>
      <c r="F16" s="61"/>
      <c r="G16" s="61"/>
      <c r="H16" s="62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4">
    <mergeCell ref="B3:F3"/>
    <mergeCell ref="D15:H15"/>
    <mergeCell ref="D16:H16"/>
    <mergeCell ref="B2:J2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  <pageSetUpPr fitToPage="1"/>
  </sheetPr>
  <dimension ref="A1:R20"/>
  <sheetViews>
    <sheetView showGridLines="0" topLeftCell="A3" workbookViewId="0">
      <selection activeCell="G12" sqref="G12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63" t="s">
        <v>23</v>
      </c>
      <c r="C2" s="63"/>
      <c r="D2" s="63"/>
      <c r="E2" s="63"/>
      <c r="F2" s="63"/>
      <c r="G2" s="63"/>
      <c r="H2" s="63"/>
      <c r="I2" s="63"/>
      <c r="J2" s="63"/>
    </row>
    <row r="3" spans="1:18" ht="62.25" customHeight="1" x14ac:dyDescent="0.25">
      <c r="A3"/>
      <c r="B3" s="64" t="str">
        <f>UPPER(TEXT(DATE(CalendarYear,3,1),"mmmm yyyy"))</f>
        <v>MARCH 2015</v>
      </c>
      <c r="C3" s="64"/>
      <c r="D3" s="64"/>
      <c r="E3" s="64"/>
      <c r="F3" s="64"/>
      <c r="G3" s="13"/>
      <c r="H3" s="13"/>
    </row>
    <row r="4" spans="1:18" customFormat="1" ht="26.25" customHeight="1" x14ac:dyDescent="0.25">
      <c r="B4" s="17" t="s">
        <v>0</v>
      </c>
      <c r="C4" s="18" t="s">
        <v>1</v>
      </c>
      <c r="D4" s="18" t="s">
        <v>2</v>
      </c>
      <c r="E4" s="18" t="s">
        <v>3</v>
      </c>
      <c r="F4" s="18" t="s">
        <v>4</v>
      </c>
      <c r="G4" s="18" t="s">
        <v>5</v>
      </c>
      <c r="H4" s="19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20" t="str">
        <f>IF(DAY(MarSun1)=1,"",IF(AND(YEAR(MarSun1+1)=CalendarYear,MONTH(MarSun1+1)=3),MarSun1+1,""))</f>
        <v/>
      </c>
      <c r="C5" s="20" t="str">
        <f>IF(DAY(MarSun1)=1,"",IF(AND(YEAR(MarSun1+2)=CalendarYear,MONTH(MarSun1+2)=3),MarSun1+2,""))</f>
        <v/>
      </c>
      <c r="D5" s="20" t="str">
        <f>IF(DAY(MarSun1)=1,"",IF(AND(YEAR(MarSun1+3)=CalendarYear,MONTH(MarSun1+3)=3),MarSun1+3,""))</f>
        <v/>
      </c>
      <c r="E5" s="20" t="str">
        <f>IF(DAY(MarSun1)=1,"",IF(AND(YEAR(MarSun1+4)=CalendarYear,MONTH(MarSun1+4)=3),MarSun1+4,""))</f>
        <v/>
      </c>
      <c r="F5" s="20" t="str">
        <f>IF(DAY(MarSun1)=1,"",IF(AND(YEAR(MarSun1+5)=CalendarYear,MONTH(MarSun1+5)=3),MarSun1+5,""))</f>
        <v/>
      </c>
      <c r="G5" s="20" t="str">
        <f>IF(DAY(MarSun1)=1,"",IF(AND(YEAR(MarSun1+6)=CalendarYear,MONTH(MarSun1+6)=3),MarSun1+6,""))</f>
        <v/>
      </c>
      <c r="H5" s="20">
        <f>IF(DAY(MarSun1)=1,IF(AND(YEAR(MarSun1)=CalendarYear,MONTH(MarSun1)=3),MarSun1,""),IF(AND(YEAR(MarSun1+7)=CalendarYear,MONTH(MarSun1+7)=3),MarSun1+7,""))</f>
        <v>42064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21"/>
      <c r="C6" s="21"/>
      <c r="D6" s="21"/>
      <c r="E6" s="21"/>
      <c r="F6" s="21"/>
      <c r="G6" s="22"/>
      <c r="H6" s="23" t="s">
        <v>15</v>
      </c>
      <c r="I6" s="3"/>
    </row>
    <row r="7" spans="1:18" ht="15" customHeight="1" x14ac:dyDescent="0.25">
      <c r="A7"/>
      <c r="B7" s="20">
        <f>IF(DAY(MarSun1)=1,IF(AND(YEAR(MarSun1+1)=CalendarYear,MONTH(MarSun1+1)=3),MarSun1+1,""),IF(AND(YEAR(MarSun1+8)=CalendarYear,MONTH(MarSun1+8)=3),MarSun1+8,""))</f>
        <v>42065</v>
      </c>
      <c r="C7" s="20">
        <f>IF(DAY(MarSun1)=1,IF(AND(YEAR(MarSun1+2)=CalendarYear,MONTH(MarSun1+2)=3),MarSun1+2,""),IF(AND(YEAR(MarSun1+9)=CalendarYear,MONTH(MarSun1+9)=3),MarSun1+9,""))</f>
        <v>42066</v>
      </c>
      <c r="D7" s="20">
        <f>IF(DAY(MarSun1)=1,IF(AND(YEAR(MarSun1+3)=CalendarYear,MONTH(MarSun1+3)=3),MarSun1+3,""),IF(AND(YEAR(MarSun1+10)=CalendarYear,MONTH(MarSun1+10)=3),MarSun1+10,""))</f>
        <v>42067</v>
      </c>
      <c r="E7" s="20">
        <f>IF(DAY(MarSun1)=1,IF(AND(YEAR(MarSun1+4)=CalendarYear,MONTH(MarSun1+4)=3),MarSun1+4,""),IF(AND(YEAR(MarSun1+11)=CalendarYear,MONTH(MarSun1+11)=3),MarSun1+11,""))</f>
        <v>42068</v>
      </c>
      <c r="F7" s="20">
        <f>IF(DAY(MarSun1)=1,IF(AND(YEAR(MarSun1+5)=CalendarYear,MONTH(MarSun1+5)=3),MarSun1+5,""),IF(AND(YEAR(MarSun1+12)=CalendarYear,MONTH(MarSun1+12)=3),MarSun1+12,""))</f>
        <v>42069</v>
      </c>
      <c r="G7" s="20">
        <f>IF(DAY(MarSun1)=1,IF(AND(YEAR(MarSun1+6)=CalendarYear,MONTH(MarSun1+6)=3),MarSun1+6,""),IF(AND(YEAR(MarSun1+13)=CalendarYear,MONTH(MarSun1+13)=3),MarSun1+13,""))</f>
        <v>42070</v>
      </c>
      <c r="H7" s="20">
        <f>IF(DAY(MarSun1)=1,IF(AND(YEAR(MarSun1+7)=CalendarYear,MONTH(MarSun1+7)=3),MarSun1+7,""),IF(AND(YEAR(MarSun1+14)=CalendarYear,MONTH(MarSun1+14)=3),MarSun1+14,""))</f>
        <v>42071</v>
      </c>
      <c r="I7" s="3"/>
    </row>
    <row r="8" spans="1:18" ht="64.5" customHeight="1" x14ac:dyDescent="0.25">
      <c r="A8"/>
      <c r="B8" s="21"/>
      <c r="C8" s="25" t="s">
        <v>15</v>
      </c>
      <c r="D8" s="21"/>
      <c r="E8" s="21"/>
      <c r="F8" s="21"/>
      <c r="G8" s="35" t="s">
        <v>22</v>
      </c>
      <c r="H8" s="23" t="s">
        <v>15</v>
      </c>
      <c r="I8" s="3"/>
    </row>
    <row r="9" spans="1:18" ht="15" customHeight="1" x14ac:dyDescent="0.25">
      <c r="A9"/>
      <c r="B9" s="24">
        <f>IF(DAY(MarSun1)=1,IF(AND(YEAR(MarSun1+8)=CalendarYear,MONTH(MarSun1+8)=3),MarSun1+8,""),IF(AND(YEAR(MarSun1+15)=CalendarYear,MONTH(MarSun1+15)=3),MarSun1+15,""))</f>
        <v>42072</v>
      </c>
      <c r="C9" s="24">
        <f>IF(DAY(MarSun1)=1,IF(AND(YEAR(MarSun1+9)=CalendarYear,MONTH(MarSun1+9)=3),MarSun1+9,""),IF(AND(YEAR(MarSun1+16)=CalendarYear,MONTH(MarSun1+16)=3),MarSun1+16,""))</f>
        <v>42073</v>
      </c>
      <c r="D9" s="24">
        <f>IF(DAY(MarSun1)=1,IF(AND(YEAR(MarSun1+10)=CalendarYear,MONTH(MarSun1+10)=3),MarSun1+10,""),IF(AND(YEAR(MarSun1+17)=CalendarYear,MONTH(MarSun1+17)=3),MarSun1+17,""))</f>
        <v>42074</v>
      </c>
      <c r="E9" s="24">
        <f>IF(DAY(MarSun1)=1,IF(AND(YEAR(MarSun1+11)=CalendarYear,MONTH(MarSun1+11)=3),MarSun1+11,""),IF(AND(YEAR(MarSun1+18)=CalendarYear,MONTH(MarSun1+18)=3),MarSun1+18,""))</f>
        <v>42075</v>
      </c>
      <c r="F9" s="24">
        <f>IF(DAY(MarSun1)=1,IF(AND(YEAR(MarSun1+12)=CalendarYear,MONTH(MarSun1+12)=3),MarSun1+12,""),IF(AND(YEAR(MarSun1+19)=CalendarYear,MONTH(MarSun1+19)=3),MarSun1+19,""))</f>
        <v>42076</v>
      </c>
      <c r="G9" s="24">
        <f>IF(DAY(MarSun1)=1,IF(AND(YEAR(MarSun1+13)=CalendarYear,MONTH(MarSun1+13)=3),MarSun1+13,""),IF(AND(YEAR(MarSun1+20)=CalendarYear,MONTH(MarSun1+20)=3),MarSun1+20,""))</f>
        <v>42077</v>
      </c>
      <c r="H9" s="24">
        <f>IF(DAY(MarSun1)=1,IF(AND(YEAR(MarSun1+14)=CalendarYear,MONTH(MarSun1+14)=3),MarSun1+14,""),IF(AND(YEAR(MarSun1+21)=CalendarYear,MONTH(MarSun1+21)=3),MarSun1+21,""))</f>
        <v>42078</v>
      </c>
      <c r="I9" s="3"/>
    </row>
    <row r="10" spans="1:18" ht="64.5" customHeight="1" x14ac:dyDescent="0.25">
      <c r="A10"/>
      <c r="B10" s="21"/>
      <c r="C10" s="25" t="s">
        <v>11</v>
      </c>
      <c r="D10" s="21"/>
      <c r="E10" s="21"/>
      <c r="F10" s="21"/>
      <c r="G10" s="35" t="s">
        <v>22</v>
      </c>
      <c r="H10" s="23" t="s">
        <v>15</v>
      </c>
      <c r="I10" s="3"/>
    </row>
    <row r="11" spans="1:18" ht="15" customHeight="1" x14ac:dyDescent="0.25">
      <c r="A11"/>
      <c r="B11" s="24">
        <f>IF(DAY(MarSun1)=1,IF(AND(YEAR(MarSun1+15)=CalendarYear,MONTH(MarSun1+15)=3),MarSun1+15,""),IF(AND(YEAR(MarSun1+22)=CalendarYear,MONTH(MarSun1+22)=3),MarSun1+22,""))</f>
        <v>42079</v>
      </c>
      <c r="C11" s="24">
        <f>IF(DAY(MarSun1)=1,IF(AND(YEAR(MarSun1+16)=CalendarYear,MONTH(MarSun1+16)=3),MarSun1+16,""),IF(AND(YEAR(MarSun1+23)=CalendarYear,MONTH(MarSun1+23)=3),MarSun1+23,""))</f>
        <v>42080</v>
      </c>
      <c r="D11" s="24">
        <f>IF(DAY(MarSun1)=1,IF(AND(YEAR(MarSun1+17)=CalendarYear,MONTH(MarSun1+17)=3),MarSun1+17,""),IF(AND(YEAR(MarSun1+24)=CalendarYear,MONTH(MarSun1+24)=3),MarSun1+24,""))</f>
        <v>42081</v>
      </c>
      <c r="E11" s="24">
        <f>IF(DAY(MarSun1)=1,IF(AND(YEAR(MarSun1+18)=CalendarYear,MONTH(MarSun1+18)=3),MarSun1+18,""),IF(AND(YEAR(MarSun1+25)=CalendarYear,MONTH(MarSun1+25)=3),MarSun1+25,""))</f>
        <v>42082</v>
      </c>
      <c r="F11" s="24">
        <f>IF(DAY(MarSun1)=1,IF(AND(YEAR(MarSun1+19)=CalendarYear,MONTH(MarSun1+19)=3),MarSun1+19,""),IF(AND(YEAR(MarSun1+26)=CalendarYear,MONTH(MarSun1+26)=3),MarSun1+26,""))</f>
        <v>42083</v>
      </c>
      <c r="G11" s="24">
        <f>IF(DAY(MarSun1)=1,IF(AND(YEAR(MarSun1+20)=CalendarYear,MONTH(MarSun1+20)=3),MarSun1+20,""),IF(AND(YEAR(MarSun1+27)=CalendarYear,MONTH(MarSun1+27)=3),MarSun1+27,""))</f>
        <v>42084</v>
      </c>
      <c r="H11" s="24">
        <f>IF(DAY(MarSun1)=1,IF(AND(YEAR(MarSun1+21)=CalendarYear,MONTH(MarSun1+21)=3),MarSun1+21,""),IF(AND(YEAR(MarSun1+28)=CalendarYear,MONTH(MarSun1+28)=3),MarSun1+28,""))</f>
        <v>42085</v>
      </c>
      <c r="I11" s="3"/>
    </row>
    <row r="12" spans="1:18" ht="64.5" customHeight="1" x14ac:dyDescent="0.25">
      <c r="A12"/>
      <c r="B12" s="21"/>
      <c r="C12" s="21"/>
      <c r="D12" s="25" t="s">
        <v>15</v>
      </c>
      <c r="E12" s="25" t="s">
        <v>15</v>
      </c>
      <c r="F12" s="21"/>
      <c r="G12" s="35" t="s">
        <v>40</v>
      </c>
      <c r="H12" s="23" t="s">
        <v>15</v>
      </c>
      <c r="I12" s="3"/>
    </row>
    <row r="13" spans="1:18" ht="15" customHeight="1" x14ac:dyDescent="0.25">
      <c r="A13"/>
      <c r="B13" s="24">
        <f>IF(DAY(MarSun1)=1,IF(AND(YEAR(MarSun1+22)=CalendarYear,MONTH(MarSun1+22)=3),MarSun1+22,""),IF(AND(YEAR(MarSun1+29)=CalendarYear,MONTH(MarSun1+29)=3),MarSun1+29,""))</f>
        <v>42086</v>
      </c>
      <c r="C13" s="24">
        <f>IF(DAY(MarSun1)=1,IF(AND(YEAR(MarSun1+23)=CalendarYear,MONTH(MarSun1+23)=3),MarSun1+23,""),IF(AND(YEAR(MarSun1+30)=CalendarYear,MONTH(MarSun1+30)=3),MarSun1+30,""))</f>
        <v>42087</v>
      </c>
      <c r="D13" s="24">
        <f>IF(DAY(MarSun1)=1,IF(AND(YEAR(MarSun1+24)=CalendarYear,MONTH(MarSun1+24)=3),MarSun1+24,""),IF(AND(YEAR(MarSun1+31)=CalendarYear,MONTH(MarSun1+31)=3),MarSun1+31,""))</f>
        <v>42088</v>
      </c>
      <c r="E13" s="24">
        <f>IF(DAY(MarSun1)=1,IF(AND(YEAR(MarSun1+25)=CalendarYear,MONTH(MarSun1+25)=3),MarSun1+25,""),IF(AND(YEAR(MarSun1+32)=CalendarYear,MONTH(MarSun1+32)=3),MarSun1+32,""))</f>
        <v>42089</v>
      </c>
      <c r="F13" s="24">
        <f>IF(DAY(MarSun1)=1,IF(AND(YEAR(MarSun1+26)=CalendarYear,MONTH(MarSun1+26)=3),MarSun1+26,""),IF(AND(YEAR(MarSun1+33)=CalendarYear,MONTH(MarSun1+33)=3),MarSun1+33,""))</f>
        <v>42090</v>
      </c>
      <c r="G13" s="24">
        <f>IF(DAY(MarSun1)=1,IF(AND(YEAR(MarSun1+27)=CalendarYear,MONTH(MarSun1+27)=3),MarSun1+27,""),IF(AND(YEAR(MarSun1+34)=CalendarYear,MONTH(MarSun1+34)=3),MarSun1+34,""))</f>
        <v>42091</v>
      </c>
      <c r="H13" s="24">
        <v>29</v>
      </c>
      <c r="I13" s="3"/>
    </row>
    <row r="14" spans="1:18" ht="64.5" customHeight="1" x14ac:dyDescent="0.25">
      <c r="A14"/>
      <c r="B14" s="21"/>
      <c r="C14" s="21"/>
      <c r="D14" s="25" t="s">
        <v>16</v>
      </c>
      <c r="E14" s="21"/>
      <c r="F14" s="21"/>
      <c r="G14" s="22"/>
      <c r="H14" s="23" t="s">
        <v>15</v>
      </c>
      <c r="I14" s="3"/>
    </row>
    <row r="15" spans="1:18" ht="15" customHeight="1" x14ac:dyDescent="0.25">
      <c r="A15"/>
      <c r="B15" s="24">
        <f>IF(DAY(MarSun1)=1,IF(AND(YEAR(MarSun1+29)=CalendarYear,MONTH(MarSun1+29)=3),MarSun1+29,""),IF(AND(YEAR(MarSun1+36)=CalendarYear,MONTH(MarSun1+36)=3),MarSun1+36,""))</f>
        <v>42093</v>
      </c>
      <c r="C15" s="27">
        <f>IF(DAY(MarSun1)=1,IF(AND(YEAR(MarSun1+30)=CalendarYear,MONTH(MarSun1+30)=3),MarSun1+30,""),IF(AND(YEAR(MarSun1+37)=CalendarYear,MONTH(MarSun1+37)=3),MarSun1+37,""))</f>
        <v>42094</v>
      </c>
      <c r="D15" s="51" t="s">
        <v>7</v>
      </c>
      <c r="E15" s="52"/>
      <c r="F15" s="52"/>
      <c r="G15" s="52"/>
      <c r="H15" s="53"/>
      <c r="I15" s="3"/>
    </row>
    <row r="16" spans="1:18" ht="64.5" customHeight="1" x14ac:dyDescent="0.25">
      <c r="A16"/>
      <c r="B16" s="25" t="s">
        <v>33</v>
      </c>
      <c r="C16" s="21"/>
      <c r="D16" s="48"/>
      <c r="E16" s="49"/>
      <c r="F16" s="49"/>
      <c r="G16" s="49"/>
      <c r="H16" s="50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4">
    <mergeCell ref="B3:F3"/>
    <mergeCell ref="D15:H15"/>
    <mergeCell ref="D16:H16"/>
    <mergeCell ref="B2:J2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14999847407452621"/>
    <pageSetUpPr fitToPage="1"/>
  </sheetPr>
  <dimension ref="A1:R24"/>
  <sheetViews>
    <sheetView showGridLines="0" topLeftCell="A3" zoomScaleNormal="100" workbookViewId="0">
      <selection activeCell="G10" sqref="G10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63" t="s">
        <v>25</v>
      </c>
      <c r="C2" s="63"/>
      <c r="D2" s="63"/>
      <c r="E2" s="63"/>
      <c r="F2" s="63"/>
      <c r="G2" s="63"/>
      <c r="H2" s="63"/>
      <c r="I2" s="63"/>
      <c r="J2" s="63"/>
    </row>
    <row r="3" spans="1:18" ht="62.25" customHeight="1" x14ac:dyDescent="0.25">
      <c r="A3"/>
      <c r="B3" s="64" t="str">
        <f>UPPER(TEXT(DATE(CalendarYear,4,1),"mmmm yyyy"))</f>
        <v>APRIL 2015</v>
      </c>
      <c r="C3" s="64"/>
      <c r="D3" s="64"/>
      <c r="E3" s="64"/>
      <c r="F3" s="64"/>
      <c r="G3" s="13"/>
      <c r="H3" s="13"/>
    </row>
    <row r="4" spans="1:18" customFormat="1" ht="26.25" customHeight="1" x14ac:dyDescent="0.25">
      <c r="B4" s="30" t="s">
        <v>0</v>
      </c>
      <c r="C4" s="31" t="s">
        <v>1</v>
      </c>
      <c r="D4" s="31" t="s">
        <v>2</v>
      </c>
      <c r="E4" s="31" t="s">
        <v>3</v>
      </c>
      <c r="F4" s="31" t="s">
        <v>4</v>
      </c>
      <c r="G4" s="31" t="s">
        <v>5</v>
      </c>
      <c r="H4" s="32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33" t="str">
        <f>IF(DAY(AprSun1)=1,"",IF(AND(YEAR(AprSun1+1)=CalendarYear,MONTH(AprSun1+1)=4),AprSun1+1,""))</f>
        <v/>
      </c>
      <c r="C5" s="33" t="str">
        <f>IF(DAY(AprSun1)=1,"",IF(AND(YEAR(AprSun1+2)=CalendarYear,MONTH(AprSun1+2)=4),AprSun1+2,""))</f>
        <v/>
      </c>
      <c r="D5" s="33">
        <f>IF(DAY(AprSun1)=1,"",IF(AND(YEAR(AprSun1+3)=CalendarYear,MONTH(AprSun1+3)=4),AprSun1+3,""))</f>
        <v>42095</v>
      </c>
      <c r="E5" s="33">
        <f>IF(DAY(AprSun1)=1,"",IF(AND(YEAR(AprSun1+4)=CalendarYear,MONTH(AprSun1+4)=4),AprSun1+4,""))</f>
        <v>42096</v>
      </c>
      <c r="F5" s="33">
        <f>IF(DAY(AprSun1)=1,"",IF(AND(YEAR(AprSun1+5)=CalendarYear,MONTH(AprSun1+5)=4),AprSun1+5,""))</f>
        <v>42097</v>
      </c>
      <c r="G5" s="33">
        <f>IF(DAY(AprSun1)=1,"",IF(AND(YEAR(AprSun1+6)=CalendarYear,MONTH(AprSun1+6)=4),AprSun1+6,""))</f>
        <v>42098</v>
      </c>
      <c r="H5" s="33">
        <f>IF(DAY(AprSun1)=1,IF(AND(YEAR(AprSun1)=CalendarYear,MONTH(AprSun1)=4),AprSun1,""),IF(AND(YEAR(AprSun1+7)=CalendarYear,MONTH(AprSun1+7)=4),AprSun1+7,""))</f>
        <v>42099</v>
      </c>
      <c r="K5" s="1"/>
      <c r="L5" s="1"/>
      <c r="M5" s="1"/>
      <c r="Q5" s="2"/>
      <c r="R5" s="1"/>
    </row>
    <row r="6" spans="1:18" s="2" customFormat="1" ht="64.5" customHeight="1" x14ac:dyDescent="0.25">
      <c r="A6"/>
      <c r="B6" s="34"/>
      <c r="C6" s="34"/>
      <c r="D6" s="34"/>
      <c r="E6" s="34"/>
      <c r="F6" s="34"/>
      <c r="G6" s="35"/>
      <c r="H6" s="35"/>
      <c r="I6"/>
      <c r="J6"/>
    </row>
    <row r="7" spans="1:18" ht="15" customHeight="1" x14ac:dyDescent="0.25">
      <c r="A7"/>
      <c r="B7" s="33">
        <f>IF(DAY(AprSun1)=1,IF(AND(YEAR(AprSun1+1)=CalendarYear,MONTH(AprSun1+1)=4),AprSun1+1,""),IF(AND(YEAR(AprSun1+8)=CalendarYear,MONTH(AprSun1+8)=4),AprSun1+8,""))</f>
        <v>42100</v>
      </c>
      <c r="C7" s="33">
        <f>IF(DAY(AprSun1)=1,IF(AND(YEAR(AprSun1+2)=CalendarYear,MONTH(AprSun1+2)=4),AprSun1+2,""),IF(AND(YEAR(AprSun1+9)=CalendarYear,MONTH(AprSun1+9)=4),AprSun1+9,""))</f>
        <v>42101</v>
      </c>
      <c r="D7" s="33">
        <f>IF(DAY(AprSun1)=1,IF(AND(YEAR(AprSun1+3)=CalendarYear,MONTH(AprSun1+3)=4),AprSun1+3,""),IF(AND(YEAR(AprSun1+10)=CalendarYear,MONTH(AprSun1+10)=4),AprSun1+10,""))</f>
        <v>42102</v>
      </c>
      <c r="E7" s="33">
        <f>IF(DAY(AprSun1)=1,IF(AND(YEAR(AprSun1+4)=CalendarYear,MONTH(AprSun1+4)=4),AprSun1+4,""),IF(AND(YEAR(AprSun1+11)=CalendarYear,MONTH(AprSun1+11)=4),AprSun1+11,""))</f>
        <v>42103</v>
      </c>
      <c r="F7" s="33">
        <f>IF(DAY(AprSun1)=1,IF(AND(YEAR(AprSun1+5)=CalendarYear,MONTH(AprSun1+5)=4),AprSun1+5,""),IF(AND(YEAR(AprSun1+12)=CalendarYear,MONTH(AprSun1+12)=4),AprSun1+12,""))</f>
        <v>42104</v>
      </c>
      <c r="G7" s="33">
        <f>IF(DAY(AprSun1)=1,IF(AND(YEAR(AprSun1+6)=CalendarYear,MONTH(AprSun1+6)=4),AprSun1+6,""),IF(AND(YEAR(AprSun1+13)=CalendarYear,MONTH(AprSun1+13)=4),AprSun1+13,""))</f>
        <v>42105</v>
      </c>
      <c r="H7" s="33">
        <f>IF(DAY(AprSun1)=1,IF(AND(YEAR(AprSun1+7)=CalendarYear,MONTH(AprSun1+7)=4),AprSun1+7,""),IF(AND(YEAR(AprSun1+14)=CalendarYear,MONTH(AprSun1+14)=4),AprSun1+14,""))</f>
        <v>42106</v>
      </c>
      <c r="I7"/>
    </row>
    <row r="8" spans="1:18" ht="64.5" customHeight="1" x14ac:dyDescent="0.25">
      <c r="A8"/>
      <c r="B8" s="34"/>
      <c r="C8" s="34" t="s">
        <v>15</v>
      </c>
      <c r="D8" s="34"/>
      <c r="E8" s="34"/>
      <c r="F8" s="34"/>
      <c r="G8" s="35"/>
      <c r="H8" s="35"/>
      <c r="I8"/>
    </row>
    <row r="9" spans="1:18" ht="15" customHeight="1" x14ac:dyDescent="0.25">
      <c r="A9"/>
      <c r="B9" s="36">
        <f>IF(DAY(AprSun1)=1,IF(AND(YEAR(AprSun1+8)=CalendarYear,MONTH(AprSun1+8)=4),AprSun1+8,""),IF(AND(YEAR(AprSun1+15)=CalendarYear,MONTH(AprSun1+15)=4),AprSun1+15,""))</f>
        <v>42107</v>
      </c>
      <c r="C9" s="36">
        <f>IF(DAY(AprSun1)=1,IF(AND(YEAR(AprSun1+9)=CalendarYear,MONTH(AprSun1+9)=4),AprSun1+9,""),IF(AND(YEAR(AprSun1+16)=CalendarYear,MONTH(AprSun1+16)=4),AprSun1+16,""))</f>
        <v>42108</v>
      </c>
      <c r="D9" s="36">
        <f>IF(DAY(AprSun1)=1,IF(AND(YEAR(AprSun1+10)=CalendarYear,MONTH(AprSun1+10)=4),AprSun1+10,""),IF(AND(YEAR(AprSun1+17)=CalendarYear,MONTH(AprSun1+17)=4),AprSun1+17,""))</f>
        <v>42109</v>
      </c>
      <c r="E9" s="36">
        <f>IF(DAY(AprSun1)=1,IF(AND(YEAR(AprSun1+11)=CalendarYear,MONTH(AprSun1+11)=4),AprSun1+11,""),IF(AND(YEAR(AprSun1+18)=CalendarYear,MONTH(AprSun1+18)=4),AprSun1+18,""))</f>
        <v>42110</v>
      </c>
      <c r="F9" s="36">
        <f>IF(DAY(AprSun1)=1,IF(AND(YEAR(AprSun1+12)=CalendarYear,MONTH(AprSun1+12)=4),AprSun1+12,""),IF(AND(YEAR(AprSun1+19)=CalendarYear,MONTH(AprSun1+19)=4),AprSun1+19,""))</f>
        <v>42111</v>
      </c>
      <c r="G9" s="36">
        <f>IF(DAY(AprSun1)=1,IF(AND(YEAR(AprSun1+13)=CalendarYear,MONTH(AprSun1+13)=4),AprSun1+13,""),IF(AND(YEAR(AprSun1+20)=CalendarYear,MONTH(AprSun1+20)=4),AprSun1+20,""))</f>
        <v>42112</v>
      </c>
      <c r="H9" s="36">
        <f>IF(DAY(AprSun1)=1,IF(AND(YEAR(AprSun1+14)=CalendarYear,MONTH(AprSun1+14)=4),AprSun1+14,""),IF(AND(YEAR(AprSun1+21)=CalendarYear,MONTH(AprSun1+21)=4),AprSun1+21,""))</f>
        <v>42113</v>
      </c>
      <c r="I9"/>
    </row>
    <row r="10" spans="1:18" ht="64.5" customHeight="1" x14ac:dyDescent="0.25">
      <c r="A10"/>
      <c r="B10" s="34"/>
      <c r="C10" s="34" t="s">
        <v>11</v>
      </c>
      <c r="D10" s="34" t="s">
        <v>15</v>
      </c>
      <c r="E10" s="34"/>
      <c r="F10" s="34"/>
      <c r="G10" s="47" t="s">
        <v>41</v>
      </c>
      <c r="H10" s="37"/>
      <c r="I10"/>
    </row>
    <row r="11" spans="1:18" ht="15" customHeight="1" x14ac:dyDescent="0.25">
      <c r="A11"/>
      <c r="B11" s="36">
        <v>21</v>
      </c>
      <c r="C11" s="36">
        <v>22</v>
      </c>
      <c r="D11" s="36">
        <v>23</v>
      </c>
      <c r="E11" s="36">
        <v>24</v>
      </c>
      <c r="F11" s="36">
        <v>25</v>
      </c>
      <c r="G11" s="36">
        <v>26</v>
      </c>
      <c r="H11" s="36">
        <f>IF(DAY(AprSun1)=1,IF(AND(YEAR(AprSun1+21)=CalendarYear,MONTH(AprSun1+21)=4),AprSun1+21,""),IF(AND(YEAR(AprSun1+28)=CalendarYear,MONTH(AprSun1+28)=4),AprSun1+28,""))</f>
        <v>42120</v>
      </c>
      <c r="I11"/>
    </row>
    <row r="12" spans="1:18" ht="64.5" customHeight="1" x14ac:dyDescent="0.25">
      <c r="A12"/>
      <c r="B12" s="38"/>
      <c r="C12" s="34"/>
      <c r="D12" s="34"/>
      <c r="E12" s="34"/>
      <c r="F12" s="25" t="s">
        <v>32</v>
      </c>
      <c r="G12" s="35"/>
      <c r="H12" s="35"/>
      <c r="I12"/>
    </row>
    <row r="13" spans="1:18" ht="15" customHeight="1" x14ac:dyDescent="0.25">
      <c r="A13"/>
      <c r="B13" s="36">
        <f>IF(DAY(AprSun1)=1,IF(AND(YEAR(AprSun1+22)=CalendarYear,MONTH(AprSun1+22)=4),AprSun1+22,""),IF(AND(YEAR(AprSun1+29)=CalendarYear,MONTH(AprSun1+29)=4),AprSun1+29,""))</f>
        <v>42121</v>
      </c>
      <c r="C13" s="36">
        <f>IF(DAY(AprSun1)=1,IF(AND(YEAR(AprSun1+23)=CalendarYear,MONTH(AprSun1+23)=4),AprSun1+23,""),IF(AND(YEAR(AprSun1+30)=CalendarYear,MONTH(AprSun1+30)=4),AprSun1+30,""))</f>
        <v>42122</v>
      </c>
      <c r="D13" s="36">
        <f>IF(DAY(AprSun1)=1,IF(AND(YEAR(AprSun1+24)=CalendarYear,MONTH(AprSun1+24)=4),AprSun1+24,""),IF(AND(YEAR(AprSun1+31)=CalendarYear,MONTH(AprSun1+31)=4),AprSun1+31,""))</f>
        <v>42123</v>
      </c>
      <c r="E13" s="36">
        <f>IF(DAY(AprSun1)=1,IF(AND(YEAR(AprSun1+25)=CalendarYear,MONTH(AprSun1+25)=4),AprSun1+25,""),IF(AND(YEAR(AprSun1+32)=CalendarYear,MONTH(AprSun1+32)=4),AprSun1+32,""))</f>
        <v>42124</v>
      </c>
      <c r="F13" s="36" t="str">
        <f>IF(DAY(AprSun1)=1,IF(AND(YEAR(AprSun1+26)=CalendarYear,MONTH(AprSun1+26)=4),AprSun1+26,""),IF(AND(YEAR(AprSun1+33)=CalendarYear,MONTH(AprSun1+33)=4),AprSun1+33,""))</f>
        <v/>
      </c>
      <c r="G13" s="36" t="str">
        <f>IF(DAY(AprSun1)=1,IF(AND(YEAR(AprSun1+27)=CalendarYear,MONTH(AprSun1+27)=4),AprSun1+27,""),IF(AND(YEAR(AprSun1+34)=CalendarYear,MONTH(AprSun1+34)=4),AprSun1+34,""))</f>
        <v/>
      </c>
      <c r="H13" s="36" t="str">
        <f>IF(DAY(AprSun1)=1,IF(AND(YEAR(AprSun1+28)=CalendarYear,MONTH(AprSun1+28)=4),AprSun1+28,""),IF(AND(YEAR(AprSun1+35)=CalendarYear,MONTH(AprSun1+35)=4),AprSun1+35,""))</f>
        <v/>
      </c>
      <c r="I13"/>
    </row>
    <row r="14" spans="1:18" ht="64.5" customHeight="1" x14ac:dyDescent="0.25">
      <c r="A14"/>
      <c r="B14" s="35"/>
      <c r="C14" s="34"/>
      <c r="D14" s="34"/>
      <c r="E14" s="34"/>
      <c r="F14" s="34"/>
      <c r="G14" s="35"/>
      <c r="H14" s="35"/>
      <c r="I14"/>
    </row>
    <row r="15" spans="1:18" ht="15" customHeight="1" x14ac:dyDescent="0.25">
      <c r="A15"/>
      <c r="B15" s="36" t="str">
        <f>IF(DAY(AprSun1)=1,IF(AND(YEAR(AprSun1+29)=CalendarYear,MONTH(AprSun1+29)=4),AprSun1+29,""),IF(AND(YEAR(AprSun1+36)=CalendarYear,MONTH(AprSun1+36)=4),AprSun1+36,""))</f>
        <v/>
      </c>
      <c r="C15" s="39" t="str">
        <f>IF(DAY(AprSun1)=1,IF(AND(YEAR(AprSun1+30)=CalendarYear,MONTH(AprSun1+30)=4),AprSun1+30,""),IF(AND(YEAR(AprSun1+37)=CalendarYear,MONTH(AprSun1+37)=4),AprSun1+37,""))</f>
        <v/>
      </c>
      <c r="D15" s="57" t="s">
        <v>7</v>
      </c>
      <c r="E15" s="58"/>
      <c r="F15" s="58"/>
      <c r="G15" s="58"/>
      <c r="H15" s="59"/>
      <c r="I15"/>
    </row>
    <row r="16" spans="1:18" ht="64.5" customHeight="1" x14ac:dyDescent="0.25">
      <c r="A16"/>
      <c r="B16" s="34"/>
      <c r="C16" s="34"/>
      <c r="D16" s="60" t="s">
        <v>15</v>
      </c>
      <c r="E16" s="61"/>
      <c r="F16" s="61"/>
      <c r="G16" s="61"/>
      <c r="H16" s="62"/>
      <c r="I16"/>
    </row>
    <row r="17" spans="3:9" ht="17.25" customHeight="1" x14ac:dyDescent="0.25">
      <c r="I17"/>
    </row>
    <row r="18" spans="3:9" ht="15.75" x14ac:dyDescent="0.25">
      <c r="I18"/>
    </row>
    <row r="19" spans="3:9" ht="21" customHeight="1" x14ac:dyDescent="0.25">
      <c r="C19" s="6"/>
      <c r="D19" s="5"/>
      <c r="E19" s="4"/>
      <c r="I19"/>
    </row>
    <row r="20" spans="3:9" ht="19.5" customHeight="1" x14ac:dyDescent="0.25">
      <c r="I20"/>
    </row>
    <row r="21" spans="3:9" ht="15.75" x14ac:dyDescent="0.25">
      <c r="I21"/>
    </row>
    <row r="22" spans="3:9" ht="15.75" x14ac:dyDescent="0.25">
      <c r="I22"/>
    </row>
    <row r="23" spans="3:9" ht="15.75" x14ac:dyDescent="0.25">
      <c r="I23"/>
    </row>
    <row r="24" spans="3:9" ht="15.75" x14ac:dyDescent="0.25">
      <c r="I24"/>
    </row>
  </sheetData>
  <mergeCells count="4">
    <mergeCell ref="B3:F3"/>
    <mergeCell ref="D15:H15"/>
    <mergeCell ref="D16:H16"/>
    <mergeCell ref="B2:J2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4.9989318521683403E-2"/>
    <pageSetUpPr fitToPage="1"/>
  </sheetPr>
  <dimension ref="A1:R20"/>
  <sheetViews>
    <sheetView showGridLines="0" topLeftCell="B3" zoomScaleNormal="100" workbookViewId="0">
      <selection activeCell="G10" sqref="G10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65" t="s">
        <v>25</v>
      </c>
      <c r="C2" s="65"/>
      <c r="D2" s="65"/>
      <c r="E2" s="65"/>
      <c r="F2" s="65"/>
      <c r="G2" s="65"/>
      <c r="H2" s="65"/>
      <c r="I2" s="65"/>
      <c r="J2" s="65"/>
    </row>
    <row r="3" spans="1:18" ht="62.25" customHeight="1" x14ac:dyDescent="0.25">
      <c r="A3"/>
      <c r="B3" s="64" t="str">
        <f>UPPER(TEXT(DATE(CalendarYear,5,1),"mmmm yyyy"))</f>
        <v>MAY 2015</v>
      </c>
      <c r="C3" s="64"/>
      <c r="D3" s="64"/>
      <c r="E3" s="64"/>
      <c r="F3" s="64"/>
      <c r="G3" s="13"/>
      <c r="H3" s="13"/>
    </row>
    <row r="4" spans="1:18" customFormat="1" ht="26.25" customHeight="1" x14ac:dyDescent="0.25">
      <c r="B4" s="30" t="s">
        <v>0</v>
      </c>
      <c r="C4" s="31" t="s">
        <v>1</v>
      </c>
      <c r="D4" s="31" t="s">
        <v>2</v>
      </c>
      <c r="E4" s="31" t="s">
        <v>3</v>
      </c>
      <c r="F4" s="31" t="s">
        <v>4</v>
      </c>
      <c r="G4" s="31" t="s">
        <v>5</v>
      </c>
      <c r="H4" s="32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33" t="str">
        <f>IF(DAY(MaySun1)=1,"",IF(AND(YEAR(MaySun1+1)=CalendarYear,MONTH(MaySun1+1)=5),MaySun1+1,""))</f>
        <v/>
      </c>
      <c r="C5" s="33" t="str">
        <f>IF(DAY(MaySun1)=1,"",IF(AND(YEAR(MaySun1+2)=CalendarYear,MONTH(MaySun1+2)=5),MaySun1+2,""))</f>
        <v/>
      </c>
      <c r="D5" s="33" t="str">
        <f>IF(DAY(MaySun1)=1,"",IF(AND(YEAR(MaySun1+3)=CalendarYear,MONTH(MaySun1+3)=5),MaySun1+3,""))</f>
        <v/>
      </c>
      <c r="E5" s="33" t="str">
        <f>IF(DAY(MaySun1)=1,"",IF(AND(YEAR(MaySun1+4)=CalendarYear,MONTH(MaySun1+4)=5),MaySun1+4,""))</f>
        <v/>
      </c>
      <c r="F5" s="33">
        <f>IF(DAY(MaySun1)=1,"",IF(AND(YEAR(MaySun1+5)=CalendarYear,MONTH(MaySun1+5)=5),MaySun1+5,""))</f>
        <v>42125</v>
      </c>
      <c r="G5" s="33">
        <f>IF(DAY(MaySun1)=1,"",IF(AND(YEAR(MaySun1+6)=CalendarYear,MONTH(MaySun1+6)=5),MaySun1+6,""))</f>
        <v>42126</v>
      </c>
      <c r="H5" s="33">
        <f>IF(DAY(MaySun1)=1,IF(AND(YEAR(MaySun1)=CalendarYear,MONTH(MaySun1)=5),MaySun1,""),IF(AND(YEAR(MaySun1+7)=CalendarYear,MONTH(MaySun1+7)=5),MaySun1+7,""))</f>
        <v>42127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34"/>
      <c r="C6" s="34"/>
      <c r="D6" s="34"/>
      <c r="E6" s="34"/>
      <c r="F6" s="34" t="s">
        <v>15</v>
      </c>
      <c r="G6" s="35" t="s">
        <v>34</v>
      </c>
      <c r="H6" s="35" t="s">
        <v>15</v>
      </c>
      <c r="I6"/>
    </row>
    <row r="7" spans="1:18" ht="15" customHeight="1" x14ac:dyDescent="0.25">
      <c r="A7"/>
      <c r="B7" s="33">
        <f>IF(DAY(MaySun1)=1,IF(AND(YEAR(MaySun1+1)=CalendarYear,MONTH(MaySun1+1)=5),MaySun1+1,""),IF(AND(YEAR(MaySun1+8)=CalendarYear,MONTH(MaySun1+8)=5),MaySun1+8,""))</f>
        <v>42128</v>
      </c>
      <c r="C7" s="33">
        <f>IF(DAY(MaySun1)=1,IF(AND(YEAR(MaySun1+2)=CalendarYear,MONTH(MaySun1+2)=5),MaySun1+2,""),IF(AND(YEAR(MaySun1+9)=CalendarYear,MONTH(MaySun1+9)=5),MaySun1+9,""))</f>
        <v>42129</v>
      </c>
      <c r="D7" s="33">
        <f>IF(DAY(MaySun1)=1,IF(AND(YEAR(MaySun1+3)=CalendarYear,MONTH(MaySun1+3)=5),MaySun1+3,""),IF(AND(YEAR(MaySun1+10)=CalendarYear,MONTH(MaySun1+10)=5),MaySun1+10,""))</f>
        <v>42130</v>
      </c>
      <c r="E7" s="33">
        <f>IF(DAY(MaySun1)=1,IF(AND(YEAR(MaySun1+4)=CalendarYear,MONTH(MaySun1+4)=5),MaySun1+4,""),IF(AND(YEAR(MaySun1+11)=CalendarYear,MONTH(MaySun1+11)=5),MaySun1+11,""))</f>
        <v>42131</v>
      </c>
      <c r="F7" s="33">
        <f>IF(DAY(MaySun1)=1,IF(AND(YEAR(MaySun1+5)=CalendarYear,MONTH(MaySun1+5)=5),MaySun1+5,""),IF(AND(YEAR(MaySun1+12)=CalendarYear,MONTH(MaySun1+12)=5),MaySun1+12,""))</f>
        <v>42132</v>
      </c>
      <c r="G7" s="33">
        <f>IF(DAY(MaySun1)=1,IF(AND(YEAR(MaySun1+6)=CalendarYear,MONTH(MaySun1+6)=5),MaySun1+6,""),IF(AND(YEAR(MaySun1+13)=CalendarYear,MONTH(MaySun1+13)=5),MaySun1+13,""))</f>
        <v>42133</v>
      </c>
      <c r="H7" s="33">
        <f>IF(DAY(MaySun1)=1,IF(AND(YEAR(MaySun1+7)=CalendarYear,MONTH(MaySun1+7)=5),MaySun1+7,""),IF(AND(YEAR(MaySun1+14)=CalendarYear,MONTH(MaySun1+14)=5),MaySun1+14,""))</f>
        <v>42134</v>
      </c>
      <c r="I7" s="3"/>
    </row>
    <row r="8" spans="1:18" ht="64.5" customHeight="1" x14ac:dyDescent="0.25">
      <c r="A8"/>
      <c r="B8" s="34"/>
      <c r="C8" s="34" t="s">
        <v>15</v>
      </c>
      <c r="D8" s="34"/>
      <c r="E8" s="34"/>
      <c r="F8" s="34"/>
      <c r="G8" s="35" t="s">
        <v>15</v>
      </c>
      <c r="H8" s="35"/>
      <c r="I8" s="3"/>
    </row>
    <row r="9" spans="1:18" ht="15" customHeight="1" x14ac:dyDescent="0.25">
      <c r="A9"/>
      <c r="B9" s="36">
        <f>IF(DAY(MaySun1)=1,IF(AND(YEAR(MaySun1+8)=CalendarYear,MONTH(MaySun1+8)=5),MaySun1+8,""),IF(AND(YEAR(MaySun1+15)=CalendarYear,MONTH(MaySun1+15)=5),MaySun1+15,""))</f>
        <v>42135</v>
      </c>
      <c r="C9" s="36">
        <f>IF(DAY(MaySun1)=1,IF(AND(YEAR(MaySun1+9)=CalendarYear,MONTH(MaySun1+9)=5),MaySun1+9,""),IF(AND(YEAR(MaySun1+16)=CalendarYear,MONTH(MaySun1+16)=5),MaySun1+16,""))</f>
        <v>42136</v>
      </c>
      <c r="D9" s="36">
        <f>IF(DAY(MaySun1)=1,IF(AND(YEAR(MaySun1+10)=CalendarYear,MONTH(MaySun1+10)=5),MaySun1+10,""),IF(AND(YEAR(MaySun1+17)=CalendarYear,MONTH(MaySun1+17)=5),MaySun1+17,""))</f>
        <v>42137</v>
      </c>
      <c r="E9" s="36">
        <v>14</v>
      </c>
      <c r="F9" s="36">
        <v>15</v>
      </c>
      <c r="G9" s="36">
        <v>16</v>
      </c>
      <c r="H9" s="36">
        <v>17</v>
      </c>
      <c r="I9" s="3"/>
    </row>
    <row r="10" spans="1:18" ht="64.5" customHeight="1" x14ac:dyDescent="0.25">
      <c r="A10"/>
      <c r="B10" s="34"/>
      <c r="C10" s="34" t="s">
        <v>12</v>
      </c>
      <c r="D10" s="34"/>
      <c r="E10" s="34"/>
      <c r="F10" s="34"/>
      <c r="G10" s="47" t="s">
        <v>41</v>
      </c>
      <c r="H10" s="35" t="s">
        <v>15</v>
      </c>
      <c r="I10"/>
    </row>
    <row r="11" spans="1:18" ht="15" customHeight="1" x14ac:dyDescent="0.25">
      <c r="A11"/>
      <c r="B11" s="36">
        <f>IF(DAY(MaySun1)=1,IF(AND(YEAR(MaySun1+15)=CalendarYear,MONTH(MaySun1+15)=5),MaySun1+15,""),IF(AND(YEAR(MaySun1+22)=CalendarYear,MONTH(MaySun1+22)=5),MaySun1+22,""))</f>
        <v>42142</v>
      </c>
      <c r="C11" s="36">
        <f>IF(DAY(MaySun1)=1,IF(AND(YEAR(MaySun1+16)=CalendarYear,MONTH(MaySun1+16)=5),MaySun1+16,""),IF(AND(YEAR(MaySun1+23)=CalendarYear,MONTH(MaySun1+23)=5),MaySun1+23,""))</f>
        <v>42143</v>
      </c>
      <c r="D11" s="36">
        <f>IF(DAY(MaySun1)=1,IF(AND(YEAR(MaySun1+17)=CalendarYear,MONTH(MaySun1+17)=5),MaySun1+17,""),IF(AND(YEAR(MaySun1+24)=CalendarYear,MONTH(MaySun1+24)=5),MaySun1+24,""))</f>
        <v>42144</v>
      </c>
      <c r="E11" s="36">
        <v>22</v>
      </c>
      <c r="F11" s="36">
        <v>23</v>
      </c>
      <c r="G11" s="36">
        <v>24</v>
      </c>
      <c r="H11" s="36">
        <v>25</v>
      </c>
      <c r="I11" s="3"/>
    </row>
    <row r="12" spans="1:18" ht="64.5" customHeight="1" x14ac:dyDescent="0.25">
      <c r="A12"/>
      <c r="B12" s="34"/>
      <c r="C12" s="34"/>
      <c r="D12" s="34"/>
      <c r="E12" s="34"/>
      <c r="F12" s="34"/>
      <c r="G12" s="35"/>
      <c r="H12" s="35" t="s">
        <v>15</v>
      </c>
      <c r="I12" s="3"/>
    </row>
    <row r="13" spans="1:18" ht="15" customHeight="1" x14ac:dyDescent="0.25">
      <c r="A13"/>
      <c r="B13" s="36">
        <f>IF(DAY(MaySun1)=1,IF(AND(YEAR(MaySun1+22)=CalendarYear,MONTH(MaySun1+22)=5),MaySun1+22,""),IF(AND(YEAR(MaySun1+29)=CalendarYear,MONTH(MaySun1+29)=5),MaySun1+29,""))</f>
        <v>42149</v>
      </c>
      <c r="C13" s="36">
        <f>IF(DAY(MaySun1)=1,IF(AND(YEAR(MaySun1+23)=CalendarYear,MONTH(MaySun1+23)=5),MaySun1+23,""),IF(AND(YEAR(MaySun1+30)=CalendarYear,MONTH(MaySun1+30)=5),MaySun1+30,""))</f>
        <v>42150</v>
      </c>
      <c r="D13" s="36">
        <f>IF(DAY(MaySun1)=1,IF(AND(YEAR(MaySun1+24)=CalendarYear,MONTH(MaySun1+24)=5),MaySun1+24,""),IF(AND(YEAR(MaySun1+31)=CalendarYear,MONTH(MaySun1+31)=5),MaySun1+31,""))</f>
        <v>42151</v>
      </c>
      <c r="E13" s="36">
        <f>IF(DAY(MaySun1)=1,IF(AND(YEAR(MaySun1+25)=CalendarYear,MONTH(MaySun1+25)=5),MaySun1+25,""),IF(AND(YEAR(MaySun1+32)=CalendarYear,MONTH(MaySun1+32)=5),MaySun1+32,""))</f>
        <v>42152</v>
      </c>
      <c r="F13" s="36">
        <f>IF(DAY(MaySun1)=1,IF(AND(YEAR(MaySun1+26)=CalendarYear,MONTH(MaySun1+26)=5),MaySun1+26,""),IF(AND(YEAR(MaySun1+33)=CalendarYear,MONTH(MaySun1+33)=5),MaySun1+33,""))</f>
        <v>42153</v>
      </c>
      <c r="G13" s="36">
        <f>IF(DAY(MaySun1)=1,IF(AND(YEAR(MaySun1+27)=CalendarYear,MONTH(MaySun1+27)=5),MaySun1+27,""),IF(AND(YEAR(MaySun1+34)=CalendarYear,MONTH(MaySun1+34)=5),MaySun1+34,""))</f>
        <v>42154</v>
      </c>
      <c r="H13" s="36">
        <f>IF(DAY(MaySun1)=1,IF(AND(YEAR(MaySun1+28)=CalendarYear,MONTH(MaySun1+28)=5),MaySun1+28,""),IF(AND(YEAR(MaySun1+35)=CalendarYear,MONTH(MaySun1+35)=5),MaySun1+35,""))</f>
        <v>42155</v>
      </c>
      <c r="I13" s="3"/>
    </row>
    <row r="14" spans="1:18" ht="64.5" customHeight="1" x14ac:dyDescent="0.25">
      <c r="A14"/>
      <c r="B14" s="34" t="s">
        <v>17</v>
      </c>
      <c r="C14" s="34"/>
      <c r="D14" s="34"/>
      <c r="E14" s="34" t="s">
        <v>15</v>
      </c>
      <c r="F14" s="34"/>
      <c r="G14" s="35"/>
      <c r="H14" s="35"/>
    </row>
    <row r="15" spans="1:18" ht="15" customHeight="1" x14ac:dyDescent="0.25">
      <c r="A15"/>
      <c r="B15" s="36" t="str">
        <f>IF(DAY(MaySun1)=1,IF(AND(YEAR(MaySun1+29)=CalendarYear,MONTH(MaySun1+29)=5),MaySun1+29,""),IF(AND(YEAR(MaySun1+36)=CalendarYear,MONTH(MaySun1+36)=5),MaySun1+36,""))</f>
        <v/>
      </c>
      <c r="C15" s="39" t="str">
        <f>IF(DAY(MaySun1)=1,IF(AND(YEAR(MaySun1+30)=CalendarYear,MONTH(MaySun1+30)=5),MaySun1+30,""),IF(AND(YEAR(MaySun1+37)=CalendarYear,MONTH(MaySun1+37)=5),MaySun1+37,""))</f>
        <v/>
      </c>
      <c r="D15" s="57" t="s">
        <v>7</v>
      </c>
      <c r="E15" s="58"/>
      <c r="F15" s="58"/>
      <c r="G15" s="58"/>
      <c r="H15" s="59"/>
      <c r="I15" s="3"/>
    </row>
    <row r="16" spans="1:18" ht="64.5" customHeight="1" x14ac:dyDescent="0.25">
      <c r="A16"/>
      <c r="B16" s="34"/>
      <c r="C16" s="34"/>
      <c r="D16" s="60" t="s">
        <v>15</v>
      </c>
      <c r="E16" s="61"/>
      <c r="F16" s="61"/>
      <c r="G16" s="61"/>
      <c r="H16" s="62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4">
    <mergeCell ref="B3:F3"/>
    <mergeCell ref="D15:H15"/>
    <mergeCell ref="D16:H16"/>
    <mergeCell ref="B2:J2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  <pageSetUpPr fitToPage="1"/>
  </sheetPr>
  <dimension ref="A1:R20"/>
  <sheetViews>
    <sheetView showGridLines="0" topLeftCell="A3" workbookViewId="0">
      <selection activeCell="G10" sqref="G10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65" t="s">
        <v>26</v>
      </c>
      <c r="C2" s="65"/>
      <c r="D2" s="65"/>
      <c r="E2" s="65"/>
      <c r="F2" s="65"/>
      <c r="G2" s="65"/>
      <c r="H2" s="65"/>
      <c r="I2" s="65"/>
      <c r="J2" s="65"/>
    </row>
    <row r="3" spans="1:18" ht="62.25" customHeight="1" x14ac:dyDescent="0.25">
      <c r="A3"/>
      <c r="B3" s="64" t="str">
        <f>UPPER(TEXT(DATE(CalendarYear,6,1),"mmmm yyyy"))</f>
        <v>JUNE 2015</v>
      </c>
      <c r="C3" s="64"/>
      <c r="D3" s="64"/>
      <c r="E3" s="64"/>
      <c r="F3" s="64"/>
      <c r="G3" s="13"/>
      <c r="H3" s="13"/>
    </row>
    <row r="4" spans="1:18" customFormat="1" ht="26.25" customHeight="1" x14ac:dyDescent="0.25">
      <c r="B4" s="17" t="s">
        <v>0</v>
      </c>
      <c r="C4" s="18" t="s">
        <v>1</v>
      </c>
      <c r="D4" s="18" t="s">
        <v>2</v>
      </c>
      <c r="E4" s="18" t="s">
        <v>3</v>
      </c>
      <c r="F4" s="18" t="s">
        <v>4</v>
      </c>
      <c r="G4" s="18" t="s">
        <v>5</v>
      </c>
      <c r="H4" s="19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20">
        <f>IF(DAY(JunSun1)=1,"",IF(AND(YEAR(JunSun1+1)=CalendarYear,MONTH(JunSun1+1)=6),JunSun1+1,""))</f>
        <v>42156</v>
      </c>
      <c r="C5" s="20">
        <f>IF(DAY(JunSun1)=1,"",IF(AND(YEAR(JunSun1+2)=CalendarYear,MONTH(JunSun1+2)=6),JunSun1+2,""))</f>
        <v>42157</v>
      </c>
      <c r="D5" s="20">
        <f>IF(DAY(JunSun1)=1,"",IF(AND(YEAR(JunSun1+3)=CalendarYear,MONTH(JunSun1+3)=6),JunSun1+3,""))</f>
        <v>42158</v>
      </c>
      <c r="E5" s="20">
        <f>IF(DAY(JunSun1)=1,"",IF(AND(YEAR(JunSun1+4)=CalendarYear,MONTH(JunSun1+4)=6),JunSun1+4,""))</f>
        <v>42159</v>
      </c>
      <c r="F5" s="20">
        <f>IF(DAY(JunSun1)=1,"",IF(AND(YEAR(JunSun1+5)=CalendarYear,MONTH(JunSun1+5)=6),JunSun1+5,""))</f>
        <v>42160</v>
      </c>
      <c r="G5" s="20">
        <f>IF(DAY(JunSun1)=1,"",IF(AND(YEAR(JunSun1+6)=CalendarYear,MONTH(JunSun1+6)=6),JunSun1+6,""))</f>
        <v>42161</v>
      </c>
      <c r="H5" s="20">
        <f>IF(DAY(JunSun1)=1,IF(AND(YEAR(JunSun1)=CalendarYear,MONTH(JunSun1)=6),JunSun1,""),IF(AND(YEAR(JunSun1+7)=CalendarYear,MONTH(JunSun1+7)=6),JunSun1+7,""))</f>
        <v>42162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21"/>
      <c r="C6" s="21"/>
      <c r="D6" s="21"/>
      <c r="E6" s="21"/>
      <c r="F6" s="21"/>
      <c r="G6" s="22"/>
      <c r="H6" s="23" t="s">
        <v>14</v>
      </c>
      <c r="I6" s="3"/>
    </row>
    <row r="7" spans="1:18" ht="15" customHeight="1" x14ac:dyDescent="0.25">
      <c r="A7"/>
      <c r="B7" s="20">
        <f>IF(DAY(JunSun1)=1,IF(AND(YEAR(JunSun1+1)=CalendarYear,MONTH(JunSun1+1)=6),JunSun1+1,""),IF(AND(YEAR(JunSun1+8)=CalendarYear,MONTH(JunSun1+8)=6),JunSun1+8,""))</f>
        <v>42163</v>
      </c>
      <c r="C7" s="20">
        <f>IF(DAY(JunSun1)=1,IF(AND(YEAR(JunSun1+2)=CalendarYear,MONTH(JunSun1+2)=6),JunSun1+2,""),IF(AND(YEAR(JunSun1+9)=CalendarYear,MONTH(JunSun1+9)=6),JunSun1+9,""))</f>
        <v>42164</v>
      </c>
      <c r="D7" s="20">
        <f>IF(DAY(JunSun1)=1,IF(AND(YEAR(JunSun1+3)=CalendarYear,MONTH(JunSun1+3)=6),JunSun1+3,""),IF(AND(YEAR(JunSun1+10)=CalendarYear,MONTH(JunSun1+10)=6),JunSun1+10,""))</f>
        <v>42165</v>
      </c>
      <c r="E7" s="20">
        <f>IF(DAY(JunSun1)=1,IF(AND(YEAR(JunSun1+4)=CalendarYear,MONTH(JunSun1+4)=6),JunSun1+4,""),IF(AND(YEAR(JunSun1+11)=CalendarYear,MONTH(JunSun1+11)=6),JunSun1+11,""))</f>
        <v>42166</v>
      </c>
      <c r="F7" s="20">
        <f>IF(DAY(JunSun1)=1,IF(AND(YEAR(JunSun1+5)=CalendarYear,MONTH(JunSun1+5)=6),JunSun1+5,""),IF(AND(YEAR(JunSun1+12)=CalendarYear,MONTH(JunSun1+12)=6),JunSun1+12,""))</f>
        <v>42167</v>
      </c>
      <c r="G7" s="20">
        <f>IF(DAY(JunSun1)=1,IF(AND(YEAR(JunSun1+6)=CalendarYear,MONTH(JunSun1+6)=6),JunSun1+6,""),IF(AND(YEAR(JunSun1+13)=CalendarYear,MONTH(JunSun1+13)=6),JunSun1+13,""))</f>
        <v>42168</v>
      </c>
      <c r="H7" s="20">
        <f>IF(DAY(JunSun1)=1,IF(AND(YEAR(JunSun1+7)=CalendarYear,MONTH(JunSun1+7)=6),JunSun1+7,""),IF(AND(YEAR(JunSun1+14)=CalendarYear,MONTH(JunSun1+14)=6),JunSun1+14,""))</f>
        <v>42169</v>
      </c>
      <c r="I7" s="3"/>
    </row>
    <row r="8" spans="1:18" ht="64.5" customHeight="1" x14ac:dyDescent="0.25">
      <c r="A8"/>
      <c r="B8" s="21"/>
      <c r="C8" s="21"/>
      <c r="D8" s="21"/>
      <c r="E8" s="21"/>
      <c r="F8" s="21"/>
      <c r="G8" s="22"/>
      <c r="H8" s="22"/>
      <c r="I8" s="3"/>
    </row>
    <row r="9" spans="1:18" ht="15" customHeight="1" x14ac:dyDescent="0.25">
      <c r="A9"/>
      <c r="B9" s="24">
        <f>IF(DAY(JunSun1)=1,IF(AND(YEAR(JunSun1+8)=CalendarYear,MONTH(JunSun1+8)=6),JunSun1+8,""),IF(AND(YEAR(JunSun1+15)=CalendarYear,MONTH(JunSun1+15)=6),JunSun1+15,""))</f>
        <v>42170</v>
      </c>
      <c r="C9" s="24">
        <f>IF(DAY(JunSun1)=1,IF(AND(YEAR(JunSun1+9)=CalendarYear,MONTH(JunSun1+9)=6),JunSun1+9,""),IF(AND(YEAR(JunSun1+16)=CalendarYear,MONTH(JunSun1+16)=6),JunSun1+16,""))</f>
        <v>42171</v>
      </c>
      <c r="D9" s="24">
        <f>IF(DAY(JunSun1)=1,IF(AND(YEAR(JunSun1+10)=CalendarYear,MONTH(JunSun1+10)=6),JunSun1+10,""),IF(AND(YEAR(JunSun1+17)=CalendarYear,MONTH(JunSun1+17)=6),JunSun1+17,""))</f>
        <v>42172</v>
      </c>
      <c r="E9" s="24">
        <f>IF(DAY(JunSun1)=1,IF(AND(YEAR(JunSun1+11)=CalendarYear,MONTH(JunSun1+11)=6),JunSun1+11,""),IF(AND(YEAR(JunSun1+18)=CalendarYear,MONTH(JunSun1+18)=6),JunSun1+18,""))</f>
        <v>42173</v>
      </c>
      <c r="F9" s="24">
        <f>IF(DAY(JunSun1)=1,IF(AND(YEAR(JunSun1+12)=CalendarYear,MONTH(JunSun1+12)=6),JunSun1+12,""),IF(AND(YEAR(JunSun1+19)=CalendarYear,MONTH(JunSun1+19)=6),JunSun1+19,""))</f>
        <v>42174</v>
      </c>
      <c r="G9" s="24">
        <f>IF(DAY(JunSun1)=1,IF(AND(YEAR(JunSun1+13)=CalendarYear,MONTH(JunSun1+13)=6),JunSun1+13,""),IF(AND(YEAR(JunSun1+20)=CalendarYear,MONTH(JunSun1+20)=6),JunSun1+20,""))</f>
        <v>42175</v>
      </c>
      <c r="H9" s="24">
        <f>IF(DAY(JunSun1)=1,IF(AND(YEAR(JunSun1+14)=CalendarYear,MONTH(JunSun1+14)=6),JunSun1+14,""),IF(AND(YEAR(JunSun1+21)=CalendarYear,MONTH(JunSun1+21)=6),JunSun1+21,""))</f>
        <v>42176</v>
      </c>
      <c r="I9" s="3"/>
    </row>
    <row r="10" spans="1:18" ht="64.5" customHeight="1" x14ac:dyDescent="0.25">
      <c r="A10"/>
      <c r="B10" s="21"/>
      <c r="C10" s="25" t="s">
        <v>10</v>
      </c>
      <c r="D10" s="21"/>
      <c r="E10" s="21"/>
      <c r="F10" s="21"/>
      <c r="G10" s="47" t="s">
        <v>41</v>
      </c>
      <c r="H10" s="23" t="s">
        <v>9</v>
      </c>
      <c r="I10" s="3"/>
    </row>
    <row r="11" spans="1:18" ht="15" customHeight="1" x14ac:dyDescent="0.25">
      <c r="A11"/>
      <c r="B11" s="24">
        <f>IF(DAY(JunSun1)=1,IF(AND(YEAR(JunSun1+15)=CalendarYear,MONTH(JunSun1+15)=6),JunSun1+15,""),IF(AND(YEAR(JunSun1+22)=CalendarYear,MONTH(JunSun1+22)=6),JunSun1+22,""))</f>
        <v>42177</v>
      </c>
      <c r="C11" s="24">
        <f>IF(DAY(JunSun1)=1,IF(AND(YEAR(JunSun1+16)=CalendarYear,MONTH(JunSun1+16)=6),JunSun1+16,""),IF(AND(YEAR(JunSun1+23)=CalendarYear,MONTH(JunSun1+23)=6),JunSun1+23,""))</f>
        <v>42178</v>
      </c>
      <c r="D11" s="24">
        <f>IF(DAY(JunSun1)=1,IF(AND(YEAR(JunSun1+17)=CalendarYear,MONTH(JunSun1+17)=6),JunSun1+17,""),IF(AND(YEAR(JunSun1+24)=CalendarYear,MONTH(JunSun1+24)=6),JunSun1+24,""))</f>
        <v>42179</v>
      </c>
      <c r="E11" s="24">
        <f>IF(DAY(JunSun1)=1,IF(AND(YEAR(JunSun1+18)=CalendarYear,MONTH(JunSun1+18)=6),JunSun1+18,""),IF(AND(YEAR(JunSun1+25)=CalendarYear,MONTH(JunSun1+25)=6),JunSun1+25,""))</f>
        <v>42180</v>
      </c>
      <c r="F11" s="24">
        <f>IF(DAY(JunSun1)=1,IF(AND(YEAR(JunSun1+19)=CalendarYear,MONTH(JunSun1+19)=6),JunSun1+19,""),IF(AND(YEAR(JunSun1+26)=CalendarYear,MONTH(JunSun1+26)=6),JunSun1+26,""))</f>
        <v>42181</v>
      </c>
      <c r="G11" s="24">
        <f>IF(DAY(JunSun1)=1,IF(AND(YEAR(JunSun1+20)=CalendarYear,MONTH(JunSun1+20)=6),JunSun1+20,""),IF(AND(YEAR(JunSun1+27)=CalendarYear,MONTH(JunSun1+27)=6),JunSun1+27,""))</f>
        <v>42182</v>
      </c>
      <c r="H11" s="24">
        <f>IF(DAY(JunSun1)=1,IF(AND(YEAR(JunSun1+21)=CalendarYear,MONTH(JunSun1+21)=6),JunSun1+21,""),IF(AND(YEAR(JunSun1+28)=CalendarYear,MONTH(JunSun1+28)=6),JunSun1+28,""))</f>
        <v>42183</v>
      </c>
      <c r="I11" s="3"/>
    </row>
    <row r="12" spans="1:18" ht="64.5" customHeight="1" x14ac:dyDescent="0.25">
      <c r="A12"/>
      <c r="B12" s="21"/>
      <c r="C12" s="21"/>
      <c r="D12" s="40"/>
      <c r="E12" s="21"/>
      <c r="F12" s="22" t="s">
        <v>15</v>
      </c>
      <c r="G12" s="23" t="s">
        <v>35</v>
      </c>
      <c r="H12" s="23" t="s">
        <v>15</v>
      </c>
      <c r="I12" s="3"/>
      <c r="M12" s="11"/>
    </row>
    <row r="13" spans="1:18" ht="15" customHeight="1" x14ac:dyDescent="0.25">
      <c r="A13"/>
      <c r="B13" s="24">
        <f>IF(DAY(JunSun1)=1,IF(AND(YEAR(JunSun1+22)=CalendarYear,MONTH(JunSun1+22)=6),JunSun1+22,""),IF(AND(YEAR(JunSun1+29)=CalendarYear,MONTH(JunSun1+29)=6),JunSun1+29,""))</f>
        <v>42184</v>
      </c>
      <c r="C13" s="24">
        <f>IF(DAY(JunSun1)=1,IF(AND(YEAR(JunSun1+23)=CalendarYear,MONTH(JunSun1+23)=6),JunSun1+23,""),IF(AND(YEAR(JunSun1+30)=CalendarYear,MONTH(JunSun1+30)=6),JunSun1+30,""))</f>
        <v>42185</v>
      </c>
      <c r="D13" s="24" t="str">
        <f>IF(DAY(JunSun1)=1,IF(AND(YEAR(JunSun1+24)=CalendarYear,MONTH(JunSun1+24)=6),JunSun1+24,""),IF(AND(YEAR(JunSun1+31)=CalendarYear,MONTH(JunSun1+31)=6),JunSun1+31,""))</f>
        <v/>
      </c>
      <c r="E13" s="24" t="str">
        <f>IF(DAY(JunSun1)=1,IF(AND(YEAR(JunSun1+25)=CalendarYear,MONTH(JunSun1+25)=6),JunSun1+25,""),IF(AND(YEAR(JunSun1+32)=CalendarYear,MONTH(JunSun1+32)=6),JunSun1+32,""))</f>
        <v/>
      </c>
      <c r="F13" s="24" t="str">
        <f>IF(DAY(JunSun1)=1,IF(AND(YEAR(JunSun1+26)=CalendarYear,MONTH(JunSun1+26)=6),JunSun1+26,""),IF(AND(YEAR(JunSun1+33)=CalendarYear,MONTH(JunSun1+33)=6),JunSun1+33,""))</f>
        <v/>
      </c>
      <c r="G13" s="24" t="str">
        <f>IF(DAY(JunSun1)=1,IF(AND(YEAR(JunSun1+27)=CalendarYear,MONTH(JunSun1+27)=6),JunSun1+27,""),IF(AND(YEAR(JunSun1+34)=CalendarYear,MONTH(JunSun1+34)=6),JunSun1+34,""))</f>
        <v/>
      </c>
      <c r="H13" s="24" t="str">
        <f>IF(DAY(JunSun1)=1,IF(AND(YEAR(JunSun1+28)=CalendarYear,MONTH(JunSun1+28)=6),JunSun1+28,""),IF(AND(YEAR(JunSun1+35)=CalendarYear,MONTH(JunSun1+35)=6),JunSun1+35,""))</f>
        <v/>
      </c>
      <c r="I13" s="3"/>
    </row>
    <row r="14" spans="1:18" ht="64.5" customHeight="1" x14ac:dyDescent="0.25">
      <c r="A14"/>
      <c r="B14" s="21"/>
      <c r="C14" s="23" t="s">
        <v>15</v>
      </c>
      <c r="D14" s="25" t="s">
        <v>15</v>
      </c>
      <c r="E14" s="21"/>
      <c r="F14" s="21"/>
      <c r="G14" s="23" t="s">
        <v>15</v>
      </c>
      <c r="H14" s="22"/>
      <c r="I14" s="3"/>
    </row>
    <row r="15" spans="1:18" ht="15" customHeight="1" x14ac:dyDescent="0.25">
      <c r="A15"/>
      <c r="B15" s="24" t="str">
        <f>IF(DAY(JunSun1)=1,IF(AND(YEAR(JunSun1+29)=CalendarYear,MONTH(JunSun1+29)=6),JunSun1+29,""),IF(AND(YEAR(JunSun1+36)=CalendarYear,MONTH(JunSun1+36)=6),JunSun1+36,""))</f>
        <v/>
      </c>
      <c r="C15" s="27" t="str">
        <f>IF(DAY(JunSun1)=1,IF(AND(YEAR(JunSun1+30)=CalendarYear,MONTH(JunSun1+30)=6),JunSun1+30,""),IF(AND(YEAR(JunSun1+37)=CalendarYear,MONTH(JunSun1+37)=6),JunSun1+37,""))</f>
        <v/>
      </c>
      <c r="D15" s="51" t="s">
        <v>7</v>
      </c>
      <c r="E15" s="52"/>
      <c r="F15" s="52"/>
      <c r="G15" s="52"/>
      <c r="H15" s="53"/>
      <c r="I15" s="3"/>
    </row>
    <row r="16" spans="1:18" ht="64.5" customHeight="1" x14ac:dyDescent="0.25">
      <c r="A16"/>
      <c r="B16" s="21"/>
      <c r="C16" s="21"/>
      <c r="D16" s="48" t="s">
        <v>15</v>
      </c>
      <c r="E16" s="49"/>
      <c r="F16" s="49"/>
      <c r="G16" s="49"/>
      <c r="H16" s="50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4">
    <mergeCell ref="B3:F3"/>
    <mergeCell ref="D15:H15"/>
    <mergeCell ref="D16:H16"/>
    <mergeCell ref="B2:J2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 tint="-0.34998626667073579"/>
    <pageSetUpPr fitToPage="1"/>
  </sheetPr>
  <dimension ref="A1:R20"/>
  <sheetViews>
    <sheetView showGridLines="0" topLeftCell="B1" workbookViewId="0">
      <selection activeCell="B12" sqref="B12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65" t="s">
        <v>26</v>
      </c>
      <c r="C2" s="65"/>
      <c r="D2" s="65"/>
      <c r="E2" s="65"/>
      <c r="F2" s="65"/>
      <c r="G2" s="65"/>
      <c r="H2" s="65"/>
      <c r="I2" s="65"/>
      <c r="J2" s="65"/>
    </row>
    <row r="3" spans="1:18" ht="62.25" customHeight="1" x14ac:dyDescent="0.25">
      <c r="A3"/>
      <c r="B3" s="64" t="str">
        <f>UPPER(TEXT(DATE(CalendarYear,7,1),"mmmm yyyy"))</f>
        <v>JULY 2015</v>
      </c>
      <c r="C3" s="64"/>
      <c r="D3" s="64"/>
      <c r="E3" s="64"/>
      <c r="F3" s="64"/>
      <c r="G3" s="13"/>
      <c r="H3" s="13"/>
    </row>
    <row r="4" spans="1:18" customFormat="1" ht="26.25" customHeight="1" x14ac:dyDescent="0.25">
      <c r="B4" s="30" t="s">
        <v>0</v>
      </c>
      <c r="C4" s="31" t="s">
        <v>1</v>
      </c>
      <c r="D4" s="31" t="s">
        <v>2</v>
      </c>
      <c r="E4" s="31" t="s">
        <v>3</v>
      </c>
      <c r="F4" s="31" t="s">
        <v>4</v>
      </c>
      <c r="G4" s="31" t="s">
        <v>5</v>
      </c>
      <c r="H4" s="32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33" t="str">
        <f>IF(DAY(JulSun1)=1,"",IF(AND(YEAR(JulSun1+1)=CalendarYear,MONTH(JulSun1+1)=7),JulSun1+1,""))</f>
        <v/>
      </c>
      <c r="C5" s="33" t="str">
        <f>IF(DAY(JulSun1)=1,"",IF(AND(YEAR(JulSun1+2)=CalendarYear,MONTH(JulSun1+2)=7),JulSun1+2,""))</f>
        <v/>
      </c>
      <c r="D5" s="33">
        <f>IF(DAY(JulSun1)=1,"",IF(AND(YEAR(JulSun1+3)=CalendarYear,MONTH(JulSun1+3)=7),JulSun1+3,""))</f>
        <v>42186</v>
      </c>
      <c r="E5" s="33">
        <f>IF(DAY(JulSun1)=1,"",IF(AND(YEAR(JulSun1+4)=CalendarYear,MONTH(JulSun1+4)=7),JulSun1+4,""))</f>
        <v>42187</v>
      </c>
      <c r="F5" s="33">
        <f>IF(DAY(JulSun1)=1,"",IF(AND(YEAR(JulSun1+5)=CalendarYear,MONTH(JulSun1+5)=7),JulSun1+5,""))</f>
        <v>42188</v>
      </c>
      <c r="G5" s="33">
        <f>IF(DAY(JulSun1)=1,"",IF(AND(YEAR(JulSun1+6)=CalendarYear,MONTH(JulSun1+6)=7),JulSun1+6,""))</f>
        <v>42189</v>
      </c>
      <c r="H5" s="33">
        <f>IF(DAY(JulSun1)=1,IF(AND(YEAR(JulSun1)=CalendarYear,MONTH(JulSun1)=7),JulSun1,""),IF(AND(YEAR(JulSun1+7)=CalendarYear,MONTH(JulSun1+7)=7),JulSun1+7,""))</f>
        <v>42190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34"/>
      <c r="C6" s="34"/>
      <c r="D6" s="34"/>
      <c r="E6" s="34"/>
      <c r="F6" s="34" t="s">
        <v>15</v>
      </c>
      <c r="G6" s="35" t="s">
        <v>18</v>
      </c>
      <c r="H6" s="35"/>
      <c r="I6"/>
      <c r="M6"/>
    </row>
    <row r="7" spans="1:18" ht="15" customHeight="1" x14ac:dyDescent="0.25">
      <c r="A7"/>
      <c r="B7" s="33">
        <f>IF(DAY(JulSun1)=1,IF(AND(YEAR(JulSun1+1)=CalendarYear,MONTH(JulSun1+1)=7),JulSun1+1,""),IF(AND(YEAR(JulSun1+8)=CalendarYear,MONTH(JulSun1+8)=7),JulSun1+8,""))</f>
        <v>42191</v>
      </c>
      <c r="C7" s="33">
        <f>IF(DAY(JulSun1)=1,IF(AND(YEAR(JulSun1+2)=CalendarYear,MONTH(JulSun1+2)=7),JulSun1+2,""),IF(AND(YEAR(JulSun1+9)=CalendarYear,MONTH(JulSun1+9)=7),JulSun1+9,""))</f>
        <v>42192</v>
      </c>
      <c r="D7" s="33">
        <f>IF(DAY(JulSun1)=1,IF(AND(YEAR(JulSun1+3)=CalendarYear,MONTH(JulSun1+3)=7),JulSun1+3,""),IF(AND(YEAR(JulSun1+10)=CalendarYear,MONTH(JulSun1+10)=7),JulSun1+10,""))</f>
        <v>42193</v>
      </c>
      <c r="E7" s="33">
        <f>IF(DAY(JulSun1)=1,IF(AND(YEAR(JulSun1+4)=CalendarYear,MONTH(JulSun1+4)=7),JulSun1+4,""),IF(AND(YEAR(JulSun1+11)=CalendarYear,MONTH(JulSun1+11)=7),JulSun1+11,""))</f>
        <v>42194</v>
      </c>
      <c r="F7" s="33">
        <f>IF(DAY(JulSun1)=1,IF(AND(YEAR(JulSun1+5)=CalendarYear,MONTH(JulSun1+5)=7),JulSun1+5,""),IF(AND(YEAR(JulSun1+12)=CalendarYear,MONTH(JulSun1+12)=7),JulSun1+12,""))</f>
        <v>42195</v>
      </c>
      <c r="G7" s="33">
        <f>IF(DAY(JulSun1)=1,IF(AND(YEAR(JulSun1+6)=CalendarYear,MONTH(JulSun1+6)=7),JulSun1+6,""),IF(AND(YEAR(JulSun1+13)=CalendarYear,MONTH(JulSun1+13)=7),JulSun1+13,""))</f>
        <v>42196</v>
      </c>
      <c r="H7" s="33">
        <f>IF(DAY(JulSun1)=1,IF(AND(YEAR(JulSun1+7)=CalendarYear,MONTH(JulSun1+7)=7),JulSun1+7,""),IF(AND(YEAR(JulSun1+14)=CalendarYear,MONTH(JulSun1+14)=7),JulSun1+14,""))</f>
        <v>42197</v>
      </c>
      <c r="I7" s="3"/>
    </row>
    <row r="8" spans="1:18" ht="64.5" customHeight="1" x14ac:dyDescent="0.25">
      <c r="A8"/>
      <c r="B8" s="34"/>
      <c r="C8" s="34" t="s">
        <v>10</v>
      </c>
      <c r="D8" s="34"/>
      <c r="E8" s="34"/>
      <c r="F8" s="34"/>
      <c r="G8" s="35" t="s">
        <v>15</v>
      </c>
      <c r="H8" s="35"/>
      <c r="I8" s="3"/>
    </row>
    <row r="9" spans="1:18" ht="15" customHeight="1" x14ac:dyDescent="0.25">
      <c r="A9"/>
      <c r="B9" s="36">
        <f>IF(DAY(JulSun1)=1,IF(AND(YEAR(JulSun1+8)=CalendarYear,MONTH(JulSun1+8)=7),JulSun1+8,""),IF(AND(YEAR(JulSun1+15)=CalendarYear,MONTH(JulSun1+15)=7),JulSun1+15,""))</f>
        <v>42198</v>
      </c>
      <c r="C9" s="36">
        <f>IF(DAY(JulSun1)=1,IF(AND(YEAR(JulSun1+9)=CalendarYear,MONTH(JulSun1+9)=7),JulSun1+9,""),IF(AND(YEAR(JulSun1+16)=CalendarYear,MONTH(JulSun1+16)=7),JulSun1+16,""))</f>
        <v>42199</v>
      </c>
      <c r="D9" s="36">
        <f>IF(DAY(JulSun1)=1,IF(AND(YEAR(JulSun1+10)=CalendarYear,MONTH(JulSun1+10)=7),JulSun1+10,""),IF(AND(YEAR(JulSun1+17)=CalendarYear,MONTH(JulSun1+17)=7),JulSun1+17,""))</f>
        <v>42200</v>
      </c>
      <c r="E9" s="36">
        <f>IF(DAY(JulSun1)=1,IF(AND(YEAR(JulSun1+11)=CalendarYear,MONTH(JulSun1+11)=7),JulSun1+11,""),IF(AND(YEAR(JulSun1+18)=CalendarYear,MONTH(JulSun1+18)=7),JulSun1+18,""))</f>
        <v>42201</v>
      </c>
      <c r="F9" s="36">
        <f>IF(DAY(JulSun1)=1,IF(AND(YEAR(JulSun1+12)=CalendarYear,MONTH(JulSun1+12)=7),JulSun1+12,""),IF(AND(YEAR(JulSun1+19)=CalendarYear,MONTH(JulSun1+19)=7),JulSun1+19,""))</f>
        <v>42202</v>
      </c>
      <c r="G9" s="36">
        <f>IF(DAY(JulSun1)=1,IF(AND(YEAR(JulSun1+13)=CalendarYear,MONTH(JulSun1+13)=7),JulSun1+13,""),IF(AND(YEAR(JulSun1+20)=CalendarYear,MONTH(JulSun1+20)=7),JulSun1+20,""))</f>
        <v>42203</v>
      </c>
      <c r="H9" s="36">
        <f>IF(DAY(JulSun1)=1,IF(AND(YEAR(JulSun1+14)=CalendarYear,MONTH(JulSun1+14)=7),JulSun1+14,""),IF(AND(YEAR(JulSun1+21)=CalendarYear,MONTH(JulSun1+21)=7),JulSun1+21,""))</f>
        <v>42204</v>
      </c>
      <c r="I9" s="3"/>
    </row>
    <row r="10" spans="1:18" ht="64.5" customHeight="1" x14ac:dyDescent="0.25">
      <c r="A10"/>
      <c r="B10" s="34"/>
      <c r="C10" s="34"/>
      <c r="D10" s="34"/>
      <c r="E10" s="34"/>
      <c r="F10" s="34"/>
      <c r="G10" s="35"/>
      <c r="H10" s="35"/>
      <c r="I10" s="3"/>
    </row>
    <row r="11" spans="1:18" ht="15" customHeight="1" x14ac:dyDescent="0.25">
      <c r="A11"/>
      <c r="B11" s="36">
        <f>IF(DAY(JulSun1)=1,IF(AND(YEAR(JulSun1+15)=CalendarYear,MONTH(JulSun1+15)=7),JulSun1+15,""),IF(AND(YEAR(JulSun1+22)=CalendarYear,MONTH(JulSun1+22)=7),JulSun1+22,""))</f>
        <v>42205</v>
      </c>
      <c r="C11" s="36">
        <f>IF(DAY(JulSun1)=1,IF(AND(YEAR(JulSun1+16)=CalendarYear,MONTH(JulSun1+16)=7),JulSun1+16,""),IF(AND(YEAR(JulSun1+23)=CalendarYear,MONTH(JulSun1+23)=7),JulSun1+23,""))</f>
        <v>42206</v>
      </c>
      <c r="D11" s="36">
        <f>IF(DAY(JulSun1)=1,IF(AND(YEAR(JulSun1+17)=CalendarYear,MONTH(JulSun1+17)=7),JulSun1+17,""),IF(AND(YEAR(JulSun1+24)=CalendarYear,MONTH(JulSun1+24)=7),JulSun1+24,""))</f>
        <v>42207</v>
      </c>
      <c r="E11" s="36">
        <f>IF(DAY(JulSun1)=1,IF(AND(YEAR(JulSun1+18)=CalendarYear,MONTH(JulSun1+18)=7),JulSun1+18,""),IF(AND(YEAR(JulSun1+25)=CalendarYear,MONTH(JulSun1+25)=7),JulSun1+25,""))</f>
        <v>42208</v>
      </c>
      <c r="F11" s="36">
        <f>IF(DAY(JulSun1)=1,IF(AND(YEAR(JulSun1+19)=CalendarYear,MONTH(JulSun1+19)=7),JulSun1+19,""),IF(AND(YEAR(JulSun1+26)=CalendarYear,MONTH(JulSun1+26)=7),JulSun1+26,""))</f>
        <v>42209</v>
      </c>
      <c r="G11" s="36">
        <f>IF(DAY(JulSun1)=1,IF(AND(YEAR(JulSun1+20)=CalendarYear,MONTH(JulSun1+20)=7),JulSun1+20,""),IF(AND(YEAR(JulSun1+27)=CalendarYear,MONTH(JulSun1+27)=7),JulSun1+27,""))</f>
        <v>42210</v>
      </c>
      <c r="H11" s="36">
        <f>IF(DAY(JulSun1)=1,IF(AND(YEAR(JulSun1+21)=CalendarYear,MONTH(JulSun1+21)=7),JulSun1+21,""),IF(AND(YEAR(JulSun1+28)=CalendarYear,MONTH(JulSun1+28)=7),JulSun1+28,""))</f>
        <v>42211</v>
      </c>
      <c r="I11" s="3"/>
    </row>
    <row r="12" spans="1:18" ht="64.5" customHeight="1" x14ac:dyDescent="0.25">
      <c r="A12"/>
      <c r="B12" s="34" t="s">
        <v>15</v>
      </c>
      <c r="C12" s="34"/>
      <c r="D12" s="34"/>
      <c r="E12" s="34"/>
      <c r="F12" s="34"/>
      <c r="G12" s="35"/>
      <c r="H12" s="35"/>
      <c r="I12" s="3"/>
    </row>
    <row r="13" spans="1:18" ht="15" customHeight="1" x14ac:dyDescent="0.25">
      <c r="A13"/>
      <c r="B13" s="36">
        <f>IF(DAY(JulSun1)=1,IF(AND(YEAR(JulSun1+22)=CalendarYear,MONTH(JulSun1+22)=7),JulSun1+22,""),IF(AND(YEAR(JulSun1+29)=CalendarYear,MONTH(JulSun1+29)=7),JulSun1+29,""))</f>
        <v>42212</v>
      </c>
      <c r="C13" s="36">
        <f>IF(DAY(JulSun1)=1,IF(AND(YEAR(JulSun1+23)=CalendarYear,MONTH(JulSun1+23)=7),JulSun1+23,""),IF(AND(YEAR(JulSun1+30)=CalendarYear,MONTH(JulSun1+30)=7),JulSun1+30,""))</f>
        <v>42213</v>
      </c>
      <c r="D13" s="36">
        <f>IF(DAY(JulSun1)=1,IF(AND(YEAR(JulSun1+24)=CalendarYear,MONTH(JulSun1+24)=7),JulSun1+24,""),IF(AND(YEAR(JulSun1+31)=CalendarYear,MONTH(JulSun1+31)=7),JulSun1+31,""))</f>
        <v>42214</v>
      </c>
      <c r="E13" s="36">
        <f>IF(DAY(JulSun1)=1,IF(AND(YEAR(JulSun1+25)=CalendarYear,MONTH(JulSun1+25)=7),JulSun1+25,""),IF(AND(YEAR(JulSun1+32)=CalendarYear,MONTH(JulSun1+32)=7),JulSun1+32,""))</f>
        <v>42215</v>
      </c>
      <c r="F13" s="36">
        <f>IF(DAY(JulSun1)=1,IF(AND(YEAR(JulSun1+26)=CalendarYear,MONTH(JulSun1+26)=7),JulSun1+26,""),IF(AND(YEAR(JulSun1+33)=CalendarYear,MONTH(JulSun1+33)=7),JulSun1+33,""))</f>
        <v>42216</v>
      </c>
      <c r="G13" s="36" t="str">
        <f>IF(DAY(JulSun1)=1,IF(AND(YEAR(JulSun1+27)=CalendarYear,MONTH(JulSun1+27)=7),JulSun1+27,""),IF(AND(YEAR(JulSun1+34)=CalendarYear,MONTH(JulSun1+34)=7),JulSun1+34,""))</f>
        <v/>
      </c>
      <c r="H13" s="36" t="str">
        <f>IF(DAY(JulSun1)=1,IF(AND(YEAR(JulSun1+28)=CalendarYear,MONTH(JulSun1+28)=7),JulSun1+28,""),IF(AND(YEAR(JulSun1+35)=CalendarYear,MONTH(JulSun1+35)=7),JulSun1+35,""))</f>
        <v/>
      </c>
      <c r="I13" s="3"/>
    </row>
    <row r="14" spans="1:18" ht="64.5" customHeight="1" x14ac:dyDescent="0.25">
      <c r="A14"/>
      <c r="B14" s="34"/>
      <c r="C14" s="34"/>
      <c r="D14" s="34"/>
      <c r="E14" s="34" t="s">
        <v>15</v>
      </c>
      <c r="F14" s="34" t="s">
        <v>15</v>
      </c>
      <c r="G14" s="35"/>
      <c r="H14" s="35"/>
      <c r="I14" s="3"/>
    </row>
    <row r="15" spans="1:18" ht="15" customHeight="1" x14ac:dyDescent="0.25">
      <c r="A15"/>
      <c r="B15" s="36" t="str">
        <f>IF(DAY(JulSun1)=1,IF(AND(YEAR(JulSun1+29)=CalendarYear,MONTH(JulSun1+29)=7),JulSun1+29,""),IF(AND(YEAR(JulSun1+36)=CalendarYear,MONTH(JulSun1+36)=7),JulSun1+36,""))</f>
        <v/>
      </c>
      <c r="C15" s="39" t="str">
        <f>IF(DAY(JulSun1)=1,IF(AND(YEAR(JulSun1+30)=CalendarYear,MONTH(JulSun1+30)=7),JulSun1+30,""),IF(AND(YEAR(JulSun1+37)=CalendarYear,MONTH(JulSun1+37)=7),JulSun1+37,""))</f>
        <v/>
      </c>
      <c r="D15" s="57" t="s">
        <v>7</v>
      </c>
      <c r="E15" s="58"/>
      <c r="F15" s="58"/>
      <c r="G15" s="58"/>
      <c r="H15" s="59"/>
      <c r="I15" s="3"/>
    </row>
    <row r="16" spans="1:18" ht="64.5" customHeight="1" x14ac:dyDescent="0.25">
      <c r="A16"/>
      <c r="B16" s="34"/>
      <c r="C16" s="34"/>
      <c r="D16" s="60"/>
      <c r="E16" s="61"/>
      <c r="F16" s="61"/>
      <c r="G16" s="61"/>
      <c r="H16" s="62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4">
    <mergeCell ref="B3:F3"/>
    <mergeCell ref="D15:H15"/>
    <mergeCell ref="D16:H16"/>
    <mergeCell ref="B2:J2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0" tint="-0.249977111117893"/>
    <pageSetUpPr fitToPage="1"/>
  </sheetPr>
  <dimension ref="A1:R20"/>
  <sheetViews>
    <sheetView showGridLines="0" workbookViewId="0">
      <selection activeCell="F13" sqref="F13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65" t="s">
        <v>26</v>
      </c>
      <c r="C2" s="65"/>
      <c r="D2" s="65"/>
      <c r="E2" s="65"/>
      <c r="F2" s="65"/>
      <c r="G2" s="65"/>
      <c r="H2" s="65"/>
      <c r="I2" s="65"/>
      <c r="J2" s="65"/>
    </row>
    <row r="3" spans="1:18" ht="62.25" customHeight="1" x14ac:dyDescent="0.25">
      <c r="A3"/>
      <c r="B3" s="64" t="str">
        <f>UPPER(TEXT(DATE(CalendarYear,8,1),"mmmm yyyy"))</f>
        <v>AUGUST 2015</v>
      </c>
      <c r="C3" s="64"/>
      <c r="D3" s="64"/>
      <c r="E3" s="64"/>
      <c r="F3" s="64"/>
      <c r="G3" s="13"/>
      <c r="H3" s="13"/>
    </row>
    <row r="4" spans="1:18" customFormat="1" ht="26.25" customHeight="1" x14ac:dyDescent="0.25">
      <c r="B4" s="17" t="s">
        <v>0</v>
      </c>
      <c r="C4" s="18" t="s">
        <v>1</v>
      </c>
      <c r="D4" s="18" t="s">
        <v>2</v>
      </c>
      <c r="E4" s="18" t="s">
        <v>3</v>
      </c>
      <c r="F4" s="18" t="s">
        <v>4</v>
      </c>
      <c r="G4" s="18" t="s">
        <v>5</v>
      </c>
      <c r="H4" s="19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20" t="str">
        <f>IF(DAY(AugSun1)=1,"",IF(AND(YEAR(AugSun1+1)=CalendarYear,MONTH(AugSun1+1)=8),AugSun1+1,""))</f>
        <v/>
      </c>
      <c r="C5" s="20" t="str">
        <f>IF(DAY(AugSun1)=1,"",IF(AND(YEAR(AugSun1+2)=CalendarYear,MONTH(AugSun1+2)=8),AugSun1+2,""))</f>
        <v/>
      </c>
      <c r="D5" s="20" t="str">
        <f>IF(DAY(AugSun1)=1,"",IF(AND(YEAR(AugSun1+3)=CalendarYear,MONTH(AugSun1+3)=8),AugSun1+3,""))</f>
        <v/>
      </c>
      <c r="E5" s="20" t="str">
        <f>IF(DAY(AugSun1)=1,"",IF(AND(YEAR(AugSun1+4)=CalendarYear,MONTH(AugSun1+4)=8),AugSun1+4,""))</f>
        <v/>
      </c>
      <c r="F5" s="20" t="str">
        <f>IF(DAY(AugSun1)=1,"",IF(AND(YEAR(AugSun1+5)=CalendarYear,MONTH(AugSun1+5)=8),AugSun1+5,""))</f>
        <v/>
      </c>
      <c r="G5" s="20">
        <f>IF(DAY(AugSun1)=1,"",IF(AND(YEAR(AugSun1+6)=CalendarYear,MONTH(AugSun1+6)=8),AugSun1+6,""))</f>
        <v>42217</v>
      </c>
      <c r="H5" s="20">
        <f>IF(DAY(AugSun1)=1,IF(AND(YEAR(AugSun1)=CalendarYear,MONTH(AugSun1)=8),AugSun1,""),IF(AND(YEAR(AugSun1+7)=CalendarYear,MONTH(AugSun1+7)=8),AugSun1+7,""))</f>
        <v>42218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21"/>
      <c r="C6" s="21"/>
      <c r="D6" s="21"/>
      <c r="E6" s="21"/>
      <c r="F6" s="25" t="s">
        <v>15</v>
      </c>
      <c r="G6" s="25" t="s">
        <v>36</v>
      </c>
      <c r="H6" s="22"/>
      <c r="I6" s="11"/>
    </row>
    <row r="7" spans="1:18" ht="15" customHeight="1" x14ac:dyDescent="0.25">
      <c r="A7"/>
      <c r="B7" s="20">
        <f>IF(DAY(AugSun1)=1,IF(AND(YEAR(AugSun1+1)=CalendarYear,MONTH(AugSun1+1)=8),AugSun1+1,""),IF(AND(YEAR(AugSun1+8)=CalendarYear,MONTH(AugSun1+8)=8),AugSun1+8,""))</f>
        <v>42219</v>
      </c>
      <c r="C7" s="20">
        <f>IF(DAY(AugSun1)=1,IF(AND(YEAR(AugSun1+2)=CalendarYear,MONTH(AugSun1+2)=8),AugSun1+2,""),IF(AND(YEAR(AugSun1+9)=CalendarYear,MONTH(AugSun1+9)=8),AugSun1+9,""))</f>
        <v>42220</v>
      </c>
      <c r="D7" s="20">
        <f>IF(DAY(AugSun1)=1,IF(AND(YEAR(AugSun1+3)=CalendarYear,MONTH(AugSun1+3)=8),AugSun1+3,""),IF(AND(YEAR(AugSun1+10)=CalendarYear,MONTH(AugSun1+10)=8),AugSun1+10,""))</f>
        <v>42221</v>
      </c>
      <c r="E7" s="20">
        <f>IF(DAY(AugSun1)=1,IF(AND(YEAR(AugSun1+4)=CalendarYear,MONTH(AugSun1+4)=8),AugSun1+4,""),IF(AND(YEAR(AugSun1+11)=CalendarYear,MONTH(AugSun1+11)=8),AugSun1+11,""))</f>
        <v>42222</v>
      </c>
      <c r="F7" s="20">
        <f>IF(DAY(AugSun1)=1,IF(AND(YEAR(AugSun1+5)=CalendarYear,MONTH(AugSun1+5)=8),AugSun1+5,""),IF(AND(YEAR(AugSun1+12)=CalendarYear,MONTH(AugSun1+12)=8),AugSun1+12,""))</f>
        <v>42223</v>
      </c>
      <c r="G7" s="20">
        <f>IF(DAY(AugSun1)=1,IF(AND(YEAR(AugSun1+6)=CalendarYear,MONTH(AugSun1+6)=8),AugSun1+6,""),IF(AND(YEAR(AugSun1+13)=CalendarYear,MONTH(AugSun1+13)=8),AugSun1+13,""))</f>
        <v>42224</v>
      </c>
      <c r="H7" s="20">
        <f>IF(DAY(AugSun1)=1,IF(AND(YEAR(AugSun1+7)=CalendarYear,MONTH(AugSun1+7)=8),AugSun1+7,""),IF(AND(YEAR(AugSun1+14)=CalendarYear,MONTH(AugSun1+14)=8),AugSun1+14,""))</f>
        <v>42225</v>
      </c>
      <c r="I7" s="3"/>
    </row>
    <row r="8" spans="1:18" ht="64.5" customHeight="1" x14ac:dyDescent="0.25">
      <c r="A8"/>
      <c r="B8" s="21"/>
      <c r="C8" s="21"/>
      <c r="D8" s="21"/>
      <c r="E8" s="21"/>
      <c r="F8" s="21"/>
      <c r="G8" s="22"/>
      <c r="H8" s="22"/>
      <c r="I8" s="3"/>
    </row>
    <row r="9" spans="1:18" ht="15" customHeight="1" x14ac:dyDescent="0.25">
      <c r="A9"/>
      <c r="B9" s="24">
        <f>IF(DAY(AugSun1)=1,IF(AND(YEAR(AugSun1+8)=CalendarYear,MONTH(AugSun1+8)=8),AugSun1+8,""),IF(AND(YEAR(AugSun1+15)=CalendarYear,MONTH(AugSun1+15)=8),AugSun1+15,""))</f>
        <v>42226</v>
      </c>
      <c r="C9" s="24">
        <f>IF(DAY(AugSun1)=1,IF(AND(YEAR(AugSun1+9)=CalendarYear,MONTH(AugSun1+9)=8),AugSun1+9,""),IF(AND(YEAR(AugSun1+16)=CalendarYear,MONTH(AugSun1+16)=8),AugSun1+16,""))</f>
        <v>42227</v>
      </c>
      <c r="D9" s="24">
        <f>IF(DAY(AugSun1)=1,IF(AND(YEAR(AugSun1+10)=CalendarYear,MONTH(AugSun1+10)=8),AugSun1+10,""),IF(AND(YEAR(AugSun1+17)=CalendarYear,MONTH(AugSun1+17)=8),AugSun1+17,""))</f>
        <v>42228</v>
      </c>
      <c r="E9" s="24">
        <f>IF(DAY(AugSun1)=1,IF(AND(YEAR(AugSun1+11)=CalendarYear,MONTH(AugSun1+11)=8),AugSun1+11,""),IF(AND(YEAR(AugSun1+18)=CalendarYear,MONTH(AugSun1+18)=8),AugSun1+18,""))</f>
        <v>42229</v>
      </c>
      <c r="F9" s="24">
        <f>IF(DAY(AugSun1)=1,IF(AND(YEAR(AugSun1+12)=CalendarYear,MONTH(AugSun1+12)=8),AugSun1+12,""),IF(AND(YEAR(AugSun1+19)=CalendarYear,MONTH(AugSun1+19)=8),AugSun1+19,""))</f>
        <v>42230</v>
      </c>
      <c r="G9" s="24">
        <f>IF(DAY(AugSun1)=1,IF(AND(YEAR(AugSun1+13)=CalendarYear,MONTH(AugSun1+13)=8),AugSun1+13,""),IF(AND(YEAR(AugSun1+20)=CalendarYear,MONTH(AugSun1+20)=8),AugSun1+20,""))</f>
        <v>42231</v>
      </c>
      <c r="H9" s="24">
        <f>IF(DAY(AugSun1)=1,IF(AND(YEAR(AugSun1+14)=CalendarYear,MONTH(AugSun1+14)=8),AugSun1+14,""),IF(AND(YEAR(AugSun1+21)=CalendarYear,MONTH(AugSun1+21)=8),AugSun1+21,""))</f>
        <v>42232</v>
      </c>
      <c r="I9" s="3"/>
    </row>
    <row r="10" spans="1:18" ht="64.5" customHeight="1" x14ac:dyDescent="0.25">
      <c r="A10"/>
      <c r="B10" s="21"/>
      <c r="C10" s="25" t="s">
        <v>13</v>
      </c>
      <c r="D10" s="34" t="s">
        <v>15</v>
      </c>
      <c r="E10" s="21"/>
      <c r="F10" s="21"/>
      <c r="G10" s="22"/>
      <c r="H10" s="22"/>
      <c r="I10" s="3"/>
    </row>
    <row r="11" spans="1:18" ht="15" customHeight="1" x14ac:dyDescent="0.25">
      <c r="A11"/>
      <c r="B11" s="24">
        <f>IF(DAY(AugSun1)=1,IF(AND(YEAR(AugSun1+15)=CalendarYear,MONTH(AugSun1+15)=8),AugSun1+15,""),IF(AND(YEAR(AugSun1+22)=CalendarYear,MONTH(AugSun1+22)=8),AugSun1+22,""))</f>
        <v>42233</v>
      </c>
      <c r="C11" s="24">
        <f>IF(DAY(AugSun1)=1,IF(AND(YEAR(AugSun1+16)=CalendarYear,MONTH(AugSun1+16)=8),AugSun1+16,""),IF(AND(YEAR(AugSun1+23)=CalendarYear,MONTH(AugSun1+23)=8),AugSun1+23,""))</f>
        <v>42234</v>
      </c>
      <c r="D11" s="24">
        <f>IF(DAY(AugSun1)=1,IF(AND(YEAR(AugSun1+17)=CalendarYear,MONTH(AugSun1+17)=8),AugSun1+17,""),IF(AND(YEAR(AugSun1+24)=CalendarYear,MONTH(AugSun1+24)=8),AugSun1+24,""))</f>
        <v>42235</v>
      </c>
      <c r="E11" s="24">
        <f>IF(DAY(AugSun1)=1,IF(AND(YEAR(AugSun1+18)=CalendarYear,MONTH(AugSun1+18)=8),AugSun1+18,""),IF(AND(YEAR(AugSun1+25)=CalendarYear,MONTH(AugSun1+25)=8),AugSun1+25,""))</f>
        <v>42236</v>
      </c>
      <c r="F11" s="24">
        <f>IF(DAY(AugSun1)=1,IF(AND(YEAR(AugSun1+19)=CalendarYear,MONTH(AugSun1+19)=8),AugSun1+19,""),IF(AND(YEAR(AugSun1+26)=CalendarYear,MONTH(AugSun1+26)=8),AugSun1+26,""))</f>
        <v>42237</v>
      </c>
      <c r="G11" s="24">
        <f>IF(DAY(AugSun1)=1,IF(AND(YEAR(AugSun1+20)=CalendarYear,MONTH(AugSun1+20)=8),AugSun1+20,""),IF(AND(YEAR(AugSun1+27)=CalendarYear,MONTH(AugSun1+27)=8),AugSun1+27,""))</f>
        <v>42238</v>
      </c>
      <c r="H11" s="24">
        <f>IF(DAY(AugSun1)=1,IF(AND(YEAR(AugSun1+21)=CalendarYear,MONTH(AugSun1+21)=8),AugSun1+21,""),IF(AND(YEAR(AugSun1+28)=CalendarYear,MONTH(AugSun1+28)=8),AugSun1+28,""))</f>
        <v>42239</v>
      </c>
      <c r="I11" s="3"/>
    </row>
    <row r="12" spans="1:18" ht="64.5" customHeight="1" x14ac:dyDescent="0.25">
      <c r="A12"/>
      <c r="B12" s="34" t="s">
        <v>15</v>
      </c>
      <c r="C12" s="21"/>
      <c r="D12" s="21"/>
      <c r="E12" s="21"/>
      <c r="F12" s="25" t="s">
        <v>37</v>
      </c>
      <c r="G12" s="25" t="s">
        <v>15</v>
      </c>
      <c r="H12" s="22"/>
      <c r="I12" s="3"/>
    </row>
    <row r="13" spans="1:18" ht="15" customHeight="1" x14ac:dyDescent="0.25">
      <c r="A13"/>
      <c r="B13" s="24">
        <f>IF(DAY(AugSun1)=1,IF(AND(YEAR(AugSun1+22)=CalendarYear,MONTH(AugSun1+22)=8),AugSun1+22,""),IF(AND(YEAR(AugSun1+29)=CalendarYear,MONTH(AugSun1+29)=8),AugSun1+29,""))</f>
        <v>42240</v>
      </c>
      <c r="C13" s="24">
        <f>IF(DAY(AugSun1)=1,IF(AND(YEAR(AugSun1+23)=CalendarYear,MONTH(AugSun1+23)=8),AugSun1+23,""),IF(AND(YEAR(AugSun1+30)=CalendarYear,MONTH(AugSun1+30)=8),AugSun1+30,""))</f>
        <v>42241</v>
      </c>
      <c r="D13" s="24">
        <f>IF(DAY(AugSun1)=1,IF(AND(YEAR(AugSun1+24)=CalendarYear,MONTH(AugSun1+24)=8),AugSun1+24,""),IF(AND(YEAR(AugSun1+31)=CalendarYear,MONTH(AugSun1+31)=8),AugSun1+31,""))</f>
        <v>42242</v>
      </c>
      <c r="E13" s="24">
        <f>IF(DAY(AugSun1)=1,IF(AND(YEAR(AugSun1+25)=CalendarYear,MONTH(AugSun1+25)=8),AugSun1+25,""),IF(AND(YEAR(AugSun1+32)=CalendarYear,MONTH(AugSun1+32)=8),AugSun1+32,""))</f>
        <v>42243</v>
      </c>
      <c r="F13" s="24">
        <f>IF(DAY(AugSun1)=1,IF(AND(YEAR(AugSun1+26)=CalendarYear,MONTH(AugSun1+26)=8),AugSun1+26,""),IF(AND(YEAR(AugSun1+33)=CalendarYear,MONTH(AugSun1+33)=8),AugSun1+33,""))</f>
        <v>42244</v>
      </c>
      <c r="G13" s="24">
        <f>IF(DAY(AugSun1)=1,IF(AND(YEAR(AugSun1+27)=CalendarYear,MONTH(AugSun1+27)=8),AugSun1+27,""),IF(AND(YEAR(AugSun1+34)=CalendarYear,MONTH(AugSun1+34)=8),AugSun1+34,""))</f>
        <v>42245</v>
      </c>
      <c r="H13" s="24">
        <f>IF(DAY(AugSun1)=1,IF(AND(YEAR(AugSun1+28)=CalendarYear,MONTH(AugSun1+28)=8),AugSun1+28,""),IF(AND(YEAR(AugSun1+35)=CalendarYear,MONTH(AugSun1+35)=8),AugSun1+35,""))</f>
        <v>42246</v>
      </c>
      <c r="I13" s="3"/>
    </row>
    <row r="14" spans="1:18" ht="64.5" customHeight="1" x14ac:dyDescent="0.25">
      <c r="A14"/>
      <c r="B14" s="21"/>
      <c r="C14" s="25" t="s">
        <v>15</v>
      </c>
      <c r="D14" s="34" t="s">
        <v>15</v>
      </c>
      <c r="E14" s="25" t="s">
        <v>15</v>
      </c>
      <c r="F14" s="21"/>
      <c r="G14" s="22"/>
      <c r="H14" s="23" t="s">
        <v>15</v>
      </c>
      <c r="I14" s="3"/>
    </row>
    <row r="15" spans="1:18" ht="15" customHeight="1" x14ac:dyDescent="0.25">
      <c r="A15"/>
      <c r="B15" s="24">
        <f>IF(DAY(AugSun1)=1,IF(AND(YEAR(AugSun1+29)=CalendarYear,MONTH(AugSun1+29)=8),AugSun1+29,""),IF(AND(YEAR(AugSun1+36)=CalendarYear,MONTH(AugSun1+36)=8),AugSun1+36,""))</f>
        <v>42247</v>
      </c>
      <c r="C15" s="27" t="str">
        <f>IF(DAY(AugSun1)=1,IF(AND(YEAR(AugSun1+30)=CalendarYear,MONTH(AugSun1+30)=8),AugSun1+30,""),IF(AND(YEAR(AugSun1+37)=CalendarYear,MONTH(AugSun1+37)=8),AugSun1+37,""))</f>
        <v/>
      </c>
      <c r="D15" s="51" t="s">
        <v>7</v>
      </c>
      <c r="E15" s="52"/>
      <c r="F15" s="52"/>
      <c r="G15" s="52"/>
      <c r="H15" s="53"/>
      <c r="I15" s="3"/>
    </row>
    <row r="16" spans="1:18" ht="64.5" customHeight="1" x14ac:dyDescent="0.25">
      <c r="A16"/>
      <c r="B16" s="21"/>
      <c r="C16" s="21"/>
      <c r="D16" s="48" t="s">
        <v>15</v>
      </c>
      <c r="E16" s="49"/>
      <c r="F16" s="49"/>
      <c r="G16" s="49"/>
      <c r="H16" s="50"/>
      <c r="I16" s="14"/>
    </row>
    <row r="17" spans="3:9" ht="17.25" customHeight="1" x14ac:dyDescent="0.2">
      <c r="I17" s="15"/>
    </row>
    <row r="18" spans="3:9" x14ac:dyDescent="0.2">
      <c r="I18" s="15"/>
    </row>
    <row r="19" spans="3:9" ht="21" customHeight="1" x14ac:dyDescent="0.25">
      <c r="C19" s="6"/>
      <c r="D19" s="5"/>
      <c r="E19" s="4"/>
    </row>
    <row r="20" spans="3:9" ht="19.5" customHeight="1" x14ac:dyDescent="0.2"/>
  </sheetData>
  <mergeCells count="4">
    <mergeCell ref="B3:F3"/>
    <mergeCell ref="D15:H15"/>
    <mergeCell ref="D16:H16"/>
    <mergeCell ref="B2:J2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 tint="-0.14999847407452621"/>
    <pageSetUpPr fitToPage="1"/>
  </sheetPr>
  <dimension ref="A1:R20"/>
  <sheetViews>
    <sheetView showGridLines="0" workbookViewId="0">
      <selection activeCell="G10" sqref="G10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65" t="s">
        <v>26</v>
      </c>
      <c r="C2" s="65"/>
      <c r="D2" s="65"/>
      <c r="E2" s="65"/>
      <c r="F2" s="65"/>
      <c r="G2" s="65"/>
      <c r="H2" s="65"/>
      <c r="I2" s="65"/>
      <c r="J2" s="65"/>
    </row>
    <row r="3" spans="1:18" ht="62.25" customHeight="1" x14ac:dyDescent="0.25">
      <c r="A3"/>
      <c r="B3" s="64" t="str">
        <f>UPPER(TEXT(DATE(CalendarYear,9,1),"mmmm yyyy"))</f>
        <v>SEPTEMBER 2015</v>
      </c>
      <c r="C3" s="64"/>
      <c r="D3" s="64"/>
      <c r="E3" s="64"/>
      <c r="F3" s="64"/>
      <c r="G3" s="13"/>
      <c r="H3" s="13"/>
    </row>
    <row r="4" spans="1:18" customFormat="1" ht="26.25" customHeight="1" x14ac:dyDescent="0.25">
      <c r="B4" s="17" t="s">
        <v>0</v>
      </c>
      <c r="C4" s="18" t="s">
        <v>1</v>
      </c>
      <c r="D4" s="18" t="s">
        <v>2</v>
      </c>
      <c r="E4" s="18" t="s">
        <v>3</v>
      </c>
      <c r="F4" s="18" t="s">
        <v>4</v>
      </c>
      <c r="G4" s="18" t="s">
        <v>5</v>
      </c>
      <c r="H4" s="19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20" t="str">
        <f>IF(DAY(SepSun1)=1,"",IF(AND(YEAR(SepSun1+1)=CalendarYear,MONTH(SepSun1+1)=9),SepSun1+1,""))</f>
        <v/>
      </c>
      <c r="C5" s="20">
        <f>IF(DAY(SepSun1)=1,"",IF(AND(YEAR(SepSun1+2)=CalendarYear,MONTH(SepSun1+2)=9),SepSun1+2,""))</f>
        <v>42248</v>
      </c>
      <c r="D5" s="20">
        <f>IF(DAY(SepSun1)=1,"",IF(AND(YEAR(SepSun1+3)=CalendarYear,MONTH(SepSun1+3)=9),SepSun1+3,""))</f>
        <v>42249</v>
      </c>
      <c r="E5" s="20">
        <f>IF(DAY(SepSun1)=1,"",IF(AND(YEAR(SepSun1+4)=CalendarYear,MONTH(SepSun1+4)=9),SepSun1+4,""))</f>
        <v>42250</v>
      </c>
      <c r="F5" s="20">
        <f>IF(DAY(SepSun1)=1,"",IF(AND(YEAR(SepSun1+5)=CalendarYear,MONTH(SepSun1+5)=9),SepSun1+5,""))</f>
        <v>42251</v>
      </c>
      <c r="G5" s="20">
        <f>IF(DAY(SepSun1)=1,"",IF(AND(YEAR(SepSun1+6)=CalendarYear,MONTH(SepSun1+6)=9),SepSun1+6,""))</f>
        <v>42252</v>
      </c>
      <c r="H5" s="20">
        <f>IF(DAY(SepSun1)=1,IF(AND(YEAR(SepSun1)=CalendarYear,MONTH(SepSun1)=9),SepSun1,""),IF(AND(YEAR(SepSun1+7)=CalendarYear,MONTH(SepSun1+7)=9),SepSun1+7,""))</f>
        <v>42253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23" t="s">
        <v>15</v>
      </c>
      <c r="C6" s="21"/>
      <c r="D6" s="21"/>
      <c r="E6" s="21"/>
      <c r="F6" s="21"/>
      <c r="G6" s="22"/>
      <c r="H6" s="22"/>
      <c r="I6" s="3"/>
    </row>
    <row r="7" spans="1:18" ht="15" customHeight="1" x14ac:dyDescent="0.25">
      <c r="A7"/>
      <c r="B7" s="20">
        <f>IF(DAY(SepSun1)=1,IF(AND(YEAR(SepSun1+1)=CalendarYear,MONTH(SepSun1+1)=9),SepSun1+1,""),IF(AND(YEAR(SepSun1+8)=CalendarYear,MONTH(SepSun1+8)=9),SepSun1+8,""))</f>
        <v>42254</v>
      </c>
      <c r="C7" s="20">
        <f>IF(DAY(SepSun1)=1,IF(AND(YEAR(SepSun1+2)=CalendarYear,MONTH(SepSun1+2)=9),SepSun1+2,""),IF(AND(YEAR(SepSun1+9)=CalendarYear,MONTH(SepSun1+9)=9),SepSun1+9,""))</f>
        <v>42255</v>
      </c>
      <c r="D7" s="20">
        <f>IF(DAY(SepSun1)=1,IF(AND(YEAR(SepSun1+3)=CalendarYear,MONTH(SepSun1+3)=9),SepSun1+3,""),IF(AND(YEAR(SepSun1+10)=CalendarYear,MONTH(SepSun1+10)=9),SepSun1+10,""))</f>
        <v>42256</v>
      </c>
      <c r="E7" s="20">
        <f>IF(DAY(SepSun1)=1,IF(AND(YEAR(SepSun1+4)=CalendarYear,MONTH(SepSun1+4)=9),SepSun1+4,""),IF(AND(YEAR(SepSun1+11)=CalendarYear,MONTH(SepSun1+11)=9),SepSun1+11,""))</f>
        <v>42257</v>
      </c>
      <c r="F7" s="20">
        <f>IF(DAY(SepSun1)=1,IF(AND(YEAR(SepSun1+5)=CalendarYear,MONTH(SepSun1+5)=9),SepSun1+5,""),IF(AND(YEAR(SepSun1+12)=CalendarYear,MONTH(SepSun1+12)=9),SepSun1+12,""))</f>
        <v>42258</v>
      </c>
      <c r="G7" s="20">
        <f>IF(DAY(SepSun1)=1,IF(AND(YEAR(SepSun1+6)=CalendarYear,MONTH(SepSun1+6)=9),SepSun1+6,""),IF(AND(YEAR(SepSun1+13)=CalendarYear,MONTH(SepSun1+13)=9),SepSun1+13,""))</f>
        <v>42259</v>
      </c>
      <c r="H7" s="20">
        <f>IF(DAY(SepSun1)=1,IF(AND(YEAR(SepSun1+7)=CalendarYear,MONTH(SepSun1+7)=9),SepSun1+7,""),IF(AND(YEAR(SepSun1+14)=CalendarYear,MONTH(SepSun1+14)=9),SepSun1+14,""))</f>
        <v>42260</v>
      </c>
      <c r="I7" s="3"/>
    </row>
    <row r="8" spans="1:18" ht="64.5" customHeight="1" x14ac:dyDescent="0.25">
      <c r="A8"/>
      <c r="B8" s="21"/>
      <c r="C8" s="25" t="s">
        <v>30</v>
      </c>
      <c r="D8" s="21"/>
      <c r="E8" s="21"/>
      <c r="F8" s="21"/>
      <c r="G8" s="22"/>
      <c r="H8" s="22"/>
      <c r="I8" s="3"/>
    </row>
    <row r="9" spans="1:18" ht="15" customHeight="1" x14ac:dyDescent="0.25">
      <c r="A9"/>
      <c r="B9" s="24">
        <f>IF(DAY(SepSun1)=1,IF(AND(YEAR(SepSun1+8)=CalendarYear,MONTH(SepSun1+8)=9),SepSun1+8,""),IF(AND(YEAR(SepSun1+15)=CalendarYear,MONTH(SepSun1+15)=9),SepSun1+15,""))</f>
        <v>42261</v>
      </c>
      <c r="C9" s="24">
        <f>IF(DAY(SepSun1)=1,IF(AND(YEAR(SepSun1+9)=CalendarYear,MONTH(SepSun1+9)=9),SepSun1+9,""),IF(AND(YEAR(SepSun1+16)=CalendarYear,MONTH(SepSun1+16)=9),SepSun1+16,""))</f>
        <v>42262</v>
      </c>
      <c r="D9" s="24">
        <f>IF(DAY(SepSun1)=1,IF(AND(YEAR(SepSun1+10)=CalendarYear,MONTH(SepSun1+10)=9),SepSun1+10,""),IF(AND(YEAR(SepSun1+17)=CalendarYear,MONTH(SepSun1+17)=9),SepSun1+17,""))</f>
        <v>42263</v>
      </c>
      <c r="E9" s="24">
        <f>IF(DAY(SepSun1)=1,IF(AND(YEAR(SepSun1+11)=CalendarYear,MONTH(SepSun1+11)=9),SepSun1+11,""),IF(AND(YEAR(SepSun1+18)=CalendarYear,MONTH(SepSun1+18)=9),SepSun1+18,""))</f>
        <v>42264</v>
      </c>
      <c r="F9" s="24">
        <f>IF(DAY(SepSun1)=1,IF(AND(YEAR(SepSun1+12)=CalendarYear,MONTH(SepSun1+12)=9),SepSun1+12,""),IF(AND(YEAR(SepSun1+19)=CalendarYear,MONTH(SepSun1+19)=9),SepSun1+19,""))</f>
        <v>42265</v>
      </c>
      <c r="G9" s="24">
        <f>IF(DAY(SepSun1)=1,IF(AND(YEAR(SepSun1+13)=CalendarYear,MONTH(SepSun1+13)=9),SepSun1+13,""),IF(AND(YEAR(SepSun1+20)=CalendarYear,MONTH(SepSun1+20)=9),SepSun1+20,""))</f>
        <v>42266</v>
      </c>
      <c r="H9" s="24">
        <f>IF(DAY(SepSun1)=1,IF(AND(YEAR(SepSun1+14)=CalendarYear,MONTH(SepSun1+14)=9),SepSun1+14,""),IF(AND(YEAR(SepSun1+21)=CalendarYear,MONTH(SepSun1+21)=9),SepSun1+21,""))</f>
        <v>42267</v>
      </c>
      <c r="I9" s="3"/>
    </row>
    <row r="10" spans="1:18" ht="64.5" customHeight="1" x14ac:dyDescent="0.25">
      <c r="A10"/>
      <c r="B10" s="21"/>
      <c r="C10" s="43" t="s">
        <v>15</v>
      </c>
      <c r="D10" s="46"/>
      <c r="E10" s="34" t="s">
        <v>15</v>
      </c>
      <c r="F10" s="34" t="s">
        <v>15</v>
      </c>
      <c r="G10" s="47" t="s">
        <v>41</v>
      </c>
      <c r="H10" s="23" t="s">
        <v>15</v>
      </c>
      <c r="I10" s="3"/>
    </row>
    <row r="11" spans="1:18" ht="15" customHeight="1" x14ac:dyDescent="0.25">
      <c r="A11"/>
      <c r="B11" s="24">
        <f>IF(DAY(SepSun1)=1,IF(AND(YEAR(SepSun1+15)=CalendarYear,MONTH(SepSun1+15)=9),SepSun1+15,""),IF(AND(YEAR(SepSun1+22)=CalendarYear,MONTH(SepSun1+22)=9),SepSun1+22,""))</f>
        <v>42268</v>
      </c>
      <c r="C11" s="24">
        <f>IF(DAY(SepSun1)=1,IF(AND(YEAR(SepSun1+16)=CalendarYear,MONTH(SepSun1+16)=9),SepSun1+16,""),IF(AND(YEAR(SepSun1+23)=CalendarYear,MONTH(SepSun1+23)=9),SepSun1+23,""))</f>
        <v>42269</v>
      </c>
      <c r="D11" s="24">
        <f>IF(DAY(SepSun1)=1,IF(AND(YEAR(SepSun1+17)=CalendarYear,MONTH(SepSun1+17)=9),SepSun1+17,""),IF(AND(YEAR(SepSun1+24)=CalendarYear,MONTH(SepSun1+24)=9),SepSun1+24,""))</f>
        <v>42270</v>
      </c>
      <c r="E11" s="24">
        <f>IF(DAY(SepSun1)=1,IF(AND(YEAR(SepSun1+18)=CalendarYear,MONTH(SepSun1+18)=9),SepSun1+18,""),IF(AND(YEAR(SepSun1+25)=CalendarYear,MONTH(SepSun1+25)=9),SepSun1+25,""))</f>
        <v>42271</v>
      </c>
      <c r="F11" s="24">
        <f>IF(DAY(SepSun1)=1,IF(AND(YEAR(SepSun1+19)=CalendarYear,MONTH(SepSun1+19)=9),SepSun1+19,""),IF(AND(YEAR(SepSun1+26)=CalendarYear,MONTH(SepSun1+26)=9),SepSun1+26,""))</f>
        <v>42272</v>
      </c>
      <c r="G11" s="24">
        <f>IF(DAY(SepSun1)=1,IF(AND(YEAR(SepSun1+20)=CalendarYear,MONTH(SepSun1+20)=9),SepSun1+20,""),IF(AND(YEAR(SepSun1+27)=CalendarYear,MONTH(SepSun1+27)=9),SepSun1+27,""))</f>
        <v>42273</v>
      </c>
      <c r="H11" s="24">
        <f>IF(DAY(SepSun1)=1,IF(AND(YEAR(SepSun1+21)=CalendarYear,MONTH(SepSun1+21)=9),SepSun1+21,""),IF(AND(YEAR(SepSun1+28)=CalendarYear,MONTH(SepSun1+28)=9),SepSun1+28,""))</f>
        <v>42274</v>
      </c>
      <c r="I11" s="3"/>
    </row>
    <row r="12" spans="1:18" ht="64.5" customHeight="1" x14ac:dyDescent="0.25">
      <c r="A12"/>
      <c r="B12" s="21"/>
      <c r="C12" s="21"/>
      <c r="D12" s="25" t="s">
        <v>19</v>
      </c>
      <c r="E12" s="21"/>
      <c r="F12" s="21"/>
      <c r="G12" s="23" t="s">
        <v>15</v>
      </c>
      <c r="H12" s="40"/>
      <c r="I12" s="3"/>
    </row>
    <row r="13" spans="1:18" ht="15" customHeight="1" x14ac:dyDescent="0.25">
      <c r="A13"/>
      <c r="B13" s="24">
        <f>IF(DAY(SepSun1)=1,IF(AND(YEAR(SepSun1+22)=CalendarYear,MONTH(SepSun1+22)=9),SepSun1+22,""),IF(AND(YEAR(SepSun1+29)=CalendarYear,MONTH(SepSun1+29)=9),SepSun1+29,""))</f>
        <v>42275</v>
      </c>
      <c r="C13" s="24">
        <f>IF(DAY(SepSun1)=1,IF(AND(YEAR(SepSun1+23)=CalendarYear,MONTH(SepSun1+23)=9),SepSun1+23,""),IF(AND(YEAR(SepSun1+30)=CalendarYear,MONTH(SepSun1+30)=9),SepSun1+30,""))</f>
        <v>42276</v>
      </c>
      <c r="D13" s="24">
        <f>IF(DAY(SepSun1)=1,IF(AND(YEAR(SepSun1+24)=CalendarYear,MONTH(SepSun1+24)=9),SepSun1+24,""),IF(AND(YEAR(SepSun1+31)=CalendarYear,MONTH(SepSun1+31)=9),SepSun1+31,""))</f>
        <v>42277</v>
      </c>
      <c r="E13" s="24" t="str">
        <f>IF(DAY(SepSun1)=1,IF(AND(YEAR(SepSun1+25)=CalendarYear,MONTH(SepSun1+25)=9),SepSun1+25,""),IF(AND(YEAR(SepSun1+32)=CalendarYear,MONTH(SepSun1+32)=9),SepSun1+32,""))</f>
        <v/>
      </c>
      <c r="F13" s="24" t="str">
        <f>IF(DAY(SepSun1)=1,IF(AND(YEAR(SepSun1+26)=CalendarYear,MONTH(SepSun1+26)=9),SepSun1+26,""),IF(AND(YEAR(SepSun1+33)=CalendarYear,MONTH(SepSun1+33)=9),SepSun1+33,""))</f>
        <v/>
      </c>
      <c r="G13" s="24" t="str">
        <f>IF(DAY(SepSun1)=1,IF(AND(YEAR(SepSun1+27)=CalendarYear,MONTH(SepSun1+27)=9),SepSun1+27,""),IF(AND(YEAR(SepSun1+34)=CalendarYear,MONTH(SepSun1+34)=9),SepSun1+34,""))</f>
        <v/>
      </c>
      <c r="H13" s="24" t="str">
        <f>IF(DAY(SepSun1)=1,IF(AND(YEAR(SepSun1+28)=CalendarYear,MONTH(SepSun1+28)=9),SepSun1+28,""),IF(AND(YEAR(SepSun1+35)=CalendarYear,MONTH(SepSun1+35)=9),SepSun1+35,""))</f>
        <v/>
      </c>
      <c r="I13" s="3"/>
    </row>
    <row r="14" spans="1:18" ht="64.5" customHeight="1" x14ac:dyDescent="0.25">
      <c r="A14"/>
      <c r="B14" s="21"/>
      <c r="C14" s="21"/>
      <c r="D14" s="41"/>
      <c r="E14" s="21"/>
      <c r="F14" s="21"/>
      <c r="G14" s="22"/>
      <c r="H14" s="22"/>
      <c r="I14" s="3"/>
    </row>
    <row r="15" spans="1:18" ht="15" customHeight="1" x14ac:dyDescent="0.25">
      <c r="A15"/>
      <c r="B15" s="24" t="str">
        <f>IF(DAY(SepSun1)=1,IF(AND(YEAR(SepSun1+29)=CalendarYear,MONTH(SepSun1+29)=9),SepSun1+29,""),IF(AND(YEAR(SepSun1+36)=CalendarYear,MONTH(SepSun1+36)=9),SepSun1+36,""))</f>
        <v/>
      </c>
      <c r="C15" s="27" t="str">
        <f>IF(DAY(SepSun1)=1,IF(AND(YEAR(SepSun1+30)=CalendarYear,MONTH(SepSun1+30)=9),SepSun1+30,""),IF(AND(YEAR(SepSun1+37)=CalendarYear,MONTH(SepSun1+37)=9),SepSun1+37,""))</f>
        <v/>
      </c>
      <c r="D15" s="51" t="s">
        <v>7</v>
      </c>
      <c r="E15" s="52"/>
      <c r="F15" s="52"/>
      <c r="G15" s="52"/>
      <c r="H15" s="53"/>
      <c r="I15" s="3"/>
    </row>
    <row r="16" spans="1:18" ht="64.5" customHeight="1" x14ac:dyDescent="0.25">
      <c r="A16"/>
      <c r="B16" s="21"/>
      <c r="C16" s="21"/>
      <c r="D16" s="48"/>
      <c r="E16" s="49"/>
      <c r="F16" s="49"/>
      <c r="G16" s="49"/>
      <c r="H16" s="50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4">
    <mergeCell ref="B3:F3"/>
    <mergeCell ref="D15:H15"/>
    <mergeCell ref="D16:H16"/>
    <mergeCell ref="B2:J2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B0BE4E2F-F9E2-47EA-9749-00C2632BC6C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CalendarYear</vt:lpstr>
      <vt:lpstr>Apr!Print_Area</vt:lpstr>
      <vt:lpstr>Aug!Print_Area</vt:lpstr>
      <vt:lpstr>Dec!Print_Area</vt:lpstr>
      <vt:lpstr>Feb!Print_Area</vt:lpstr>
      <vt:lpstr>Jan!Print_Area</vt:lpstr>
      <vt:lpstr>Jul!Print_Area</vt:lpstr>
      <vt:lpstr>Jun!Print_Area</vt:lpstr>
      <vt:lpstr>Mar!Print_Area</vt:lpstr>
      <vt:lpstr>May!Print_Area</vt:lpstr>
      <vt:lpstr>Nov!Print_Area</vt:lpstr>
      <vt:lpstr>Oct!Print_Area</vt:lpstr>
      <vt:lpstr>Sep!Print_Area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Sandy_K</dc:creator>
  <cp:lastModifiedBy>Dora Muhammad</cp:lastModifiedBy>
  <cp:lastPrinted>2014-12-29T23:21:33Z</cp:lastPrinted>
  <dcterms:created xsi:type="dcterms:W3CDTF">2013-01-30T19:05:26Z</dcterms:created>
  <dcterms:modified xsi:type="dcterms:W3CDTF">2015-03-28T22:41:24Z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TC034580769991</vt:lpwstr>
  </property>
</Properties>
</file>